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9315" windowHeight="5850"/>
  </bookViews>
  <sheets>
    <sheet name="CALENDARIO" sheetId="27" r:id="rId1"/>
    <sheet name="LEY DE INGRESOS" sheetId="26" state="hidden" r:id="rId2"/>
    <sheet name="PORCENTAJE Y MONTOS" sheetId="25" r:id="rId3"/>
    <sheet name="Datos" sheetId="5" state="hidden" r:id="rId4"/>
    <sheet name="FGP TOTAL" sheetId="21" r:id="rId5"/>
    <sheet name="FFM" sheetId="6" r:id="rId6"/>
    <sheet name="IEPS TyA" sheetId="16" r:id="rId7"/>
    <sheet name="IEPS GyD" sheetId="10" r:id="rId8"/>
    <sheet name="FOFIR" sheetId="8" r:id="rId9"/>
    <sheet name="FOCO" sheetId="19" r:id="rId10"/>
    <sheet name="I S A N" sheetId="17" r:id="rId11"/>
    <sheet name="PREDIAL Y AGUA" sheetId="29" r:id="rId12"/>
    <sheet name="CENSO" sheetId="23" r:id="rId13"/>
    <sheet name="ISAN" sheetId="11" state="hidden" r:id="rId14"/>
    <sheet name="ISAN  ok" sheetId="18" state="hidden" r:id="rId15"/>
    <sheet name="FOCO isan" sheetId="12" state="hidden" r:id="rId16"/>
  </sheets>
  <externalReferences>
    <externalReference r:id="rId17"/>
  </externalReferences>
  <definedNames>
    <definedName name="_xlnm.Print_Area" localSheetId="15">'FOCO isan'!$B$33:$H$60</definedName>
    <definedName name="_xlnm.Print_Area" localSheetId="14">'ISAN  ok'!$K$8:$O$29</definedName>
  </definedNames>
  <calcPr calcId="152511"/>
</workbook>
</file>

<file path=xl/calcChain.xml><?xml version="1.0" encoding="utf-8"?>
<calcChain xmlns="http://schemas.openxmlformats.org/spreadsheetml/2006/main">
  <c r="AG30" i="25" l="1"/>
  <c r="F28" i="29" l="1"/>
  <c r="E28" i="29"/>
  <c r="G28" i="29" s="1"/>
  <c r="C28" i="29"/>
  <c r="B28" i="29"/>
  <c r="D28" i="29" s="1"/>
  <c r="G27" i="29"/>
  <c r="D27" i="29"/>
  <c r="G26" i="29"/>
  <c r="D26" i="29"/>
  <c r="G25" i="29"/>
  <c r="D25" i="29"/>
  <c r="G24" i="29"/>
  <c r="D24" i="29"/>
  <c r="G23" i="29"/>
  <c r="D23" i="29"/>
  <c r="G22" i="29"/>
  <c r="D22" i="29"/>
  <c r="G21" i="29"/>
  <c r="D21" i="29"/>
  <c r="G20" i="29"/>
  <c r="D20" i="29"/>
  <c r="G19" i="29"/>
  <c r="D19" i="29"/>
  <c r="G18" i="29"/>
  <c r="D18" i="29"/>
  <c r="G17" i="29"/>
  <c r="D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G10" i="29"/>
  <c r="D10" i="29"/>
  <c r="G9" i="29"/>
  <c r="D9" i="29"/>
  <c r="G8" i="29"/>
  <c r="D8" i="29"/>
  <c r="T30" i="25" l="1"/>
  <c r="K69" i="5"/>
  <c r="K64" i="5"/>
  <c r="K66" i="5" s="1"/>
  <c r="K65" i="5"/>
  <c r="K58" i="5"/>
  <c r="K70" i="5"/>
  <c r="K53" i="5"/>
  <c r="K48" i="5"/>
  <c r="I38" i="5"/>
  <c r="K33" i="5"/>
  <c r="K22" i="5"/>
  <c r="K9" i="5"/>
  <c r="C18" i="26"/>
  <c r="B14" i="26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9" i="19"/>
  <c r="F59" i="12" l="1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81" i="5"/>
  <c r="M101" i="5" l="1"/>
  <c r="L28" i="6" l="1"/>
  <c r="L25" i="6"/>
  <c r="L23" i="6"/>
  <c r="L20" i="6"/>
  <c r="L16" i="6"/>
  <c r="L15" i="6"/>
  <c r="S101" i="5" l="1"/>
  <c r="R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D42" i="12" l="1"/>
  <c r="D12" i="12"/>
  <c r="E10" i="8"/>
  <c r="I13" i="6"/>
  <c r="D40" i="12"/>
  <c r="D10" i="12"/>
  <c r="I11" i="6"/>
  <c r="E8" i="8"/>
  <c r="D44" i="12"/>
  <c r="D14" i="12"/>
  <c r="I15" i="6"/>
  <c r="E12" i="8"/>
  <c r="D48" i="12"/>
  <c r="D18" i="12"/>
  <c r="I19" i="6"/>
  <c r="E16" i="8"/>
  <c r="D52" i="12"/>
  <c r="D22" i="12"/>
  <c r="I23" i="6"/>
  <c r="E20" i="8"/>
  <c r="D56" i="12"/>
  <c r="D26" i="12"/>
  <c r="I27" i="6"/>
  <c r="E24" i="8"/>
  <c r="D41" i="12"/>
  <c r="D11" i="12"/>
  <c r="I12" i="6"/>
  <c r="E9" i="8"/>
  <c r="D45" i="12"/>
  <c r="D15" i="12"/>
  <c r="E13" i="8"/>
  <c r="I16" i="6"/>
  <c r="D49" i="12"/>
  <c r="D19" i="12"/>
  <c r="I20" i="6"/>
  <c r="E17" i="8"/>
  <c r="D53" i="12"/>
  <c r="D23" i="12"/>
  <c r="I24" i="6"/>
  <c r="E21" i="8"/>
  <c r="D57" i="12"/>
  <c r="D27" i="12"/>
  <c r="E25" i="8"/>
  <c r="I28" i="6"/>
  <c r="D46" i="12"/>
  <c r="D16" i="12"/>
  <c r="E14" i="8"/>
  <c r="I17" i="6"/>
  <c r="D50" i="12"/>
  <c r="D20" i="12"/>
  <c r="E18" i="8"/>
  <c r="I21" i="6"/>
  <c r="D54" i="12"/>
  <c r="D24" i="12"/>
  <c r="E22" i="8"/>
  <c r="I25" i="6"/>
  <c r="D58" i="12"/>
  <c r="D28" i="12"/>
  <c r="E26" i="8"/>
  <c r="I29" i="6"/>
  <c r="D39" i="12"/>
  <c r="D9" i="12"/>
  <c r="E7" i="8"/>
  <c r="I10" i="6"/>
  <c r="D43" i="12"/>
  <c r="D13" i="12"/>
  <c r="E11" i="8"/>
  <c r="I14" i="6"/>
  <c r="D47" i="12"/>
  <c r="D17" i="12"/>
  <c r="E15" i="8"/>
  <c r="I18" i="6"/>
  <c r="D51" i="12"/>
  <c r="D21" i="12"/>
  <c r="E19" i="8"/>
  <c r="I22" i="6"/>
  <c r="D55" i="12"/>
  <c r="D25" i="12"/>
  <c r="E23" i="8"/>
  <c r="I26" i="6"/>
  <c r="T101" i="5"/>
  <c r="L11" i="5"/>
  <c r="L10" i="5"/>
  <c r="D29" i="12" l="1"/>
  <c r="D59" i="12"/>
  <c r="E27" i="8"/>
  <c r="F7" i="8" s="1"/>
  <c r="D10" i="21" l="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C30" i="21"/>
  <c r="E30" i="21"/>
  <c r="F12" i="21" l="1"/>
  <c r="C11" i="11" s="1"/>
  <c r="F16" i="21"/>
  <c r="C15" i="11" s="1"/>
  <c r="F20" i="21"/>
  <c r="C19" i="11" s="1"/>
  <c r="F24" i="21"/>
  <c r="C23" i="11" s="1"/>
  <c r="F28" i="21"/>
  <c r="C27" i="11" s="1"/>
  <c r="F13" i="21"/>
  <c r="C12" i="11" s="1"/>
  <c r="F21" i="21"/>
  <c r="F25" i="21"/>
  <c r="F29" i="21"/>
  <c r="F14" i="21"/>
  <c r="C13" i="11" s="1"/>
  <c r="F18" i="21"/>
  <c r="C17" i="11" s="1"/>
  <c r="F22" i="21"/>
  <c r="C21" i="11" s="1"/>
  <c r="F26" i="21"/>
  <c r="C25" i="11" s="1"/>
  <c r="F10" i="21"/>
  <c r="F15" i="21"/>
  <c r="C14" i="11" s="1"/>
  <c r="F23" i="21"/>
  <c r="C22" i="11" s="1"/>
  <c r="F17" i="21"/>
  <c r="C16" i="11" s="1"/>
  <c r="F11" i="21"/>
  <c r="C10" i="11" s="1"/>
  <c r="F27" i="21"/>
  <c r="C26" i="11" s="1"/>
  <c r="F19" i="21"/>
  <c r="C18" i="11" s="1"/>
  <c r="D30" i="21"/>
  <c r="G11" i="21"/>
  <c r="G19" i="21"/>
  <c r="G13" i="21"/>
  <c r="G28" i="21"/>
  <c r="G24" i="21"/>
  <c r="G23" i="21"/>
  <c r="G16" i="21"/>
  <c r="G12" i="21"/>
  <c r="G17" i="21" l="1"/>
  <c r="G26" i="21"/>
  <c r="F30" i="21"/>
  <c r="C20" i="11"/>
  <c r="G21" i="21"/>
  <c r="G27" i="21"/>
  <c r="G18" i="21"/>
  <c r="C28" i="11"/>
  <c r="G29" i="21"/>
  <c r="G10" i="21"/>
  <c r="C9" i="11"/>
  <c r="G20" i="21"/>
  <c r="G14" i="21"/>
  <c r="G15" i="21"/>
  <c r="C24" i="11"/>
  <c r="G25" i="21"/>
  <c r="G22" i="21"/>
  <c r="G30" i="21" l="1"/>
  <c r="X30" i="25" l="1"/>
  <c r="AF30" i="25"/>
  <c r="AD30" i="25"/>
  <c r="AB30" i="25"/>
  <c r="Z30" i="25"/>
  <c r="J30" i="25"/>
  <c r="K28" i="25" s="1"/>
  <c r="L28" i="25" s="1"/>
  <c r="F30" i="25"/>
  <c r="E29" i="25" s="1"/>
  <c r="G29" i="25" s="1"/>
  <c r="H29" i="25" s="1"/>
  <c r="C30" i="25"/>
  <c r="K29" i="25"/>
  <c r="L29" i="25" s="1"/>
  <c r="D29" i="25"/>
  <c r="D28" i="25"/>
  <c r="K27" i="25"/>
  <c r="L27" i="25" s="1"/>
  <c r="D27" i="25"/>
  <c r="K26" i="25"/>
  <c r="L26" i="25" s="1"/>
  <c r="E26" i="25"/>
  <c r="G26" i="25" s="1"/>
  <c r="H26" i="25" s="1"/>
  <c r="D26" i="25"/>
  <c r="K25" i="25"/>
  <c r="L25" i="25" s="1"/>
  <c r="D25" i="25"/>
  <c r="K24" i="25"/>
  <c r="L24" i="25" s="1"/>
  <c r="D24" i="25"/>
  <c r="K23" i="25"/>
  <c r="L23" i="25" s="1"/>
  <c r="D23" i="25"/>
  <c r="K22" i="25"/>
  <c r="L22" i="25" s="1"/>
  <c r="D22" i="25"/>
  <c r="K21" i="25"/>
  <c r="L21" i="25" s="1"/>
  <c r="D21" i="25"/>
  <c r="K20" i="25"/>
  <c r="L20" i="25" s="1"/>
  <c r="D20" i="25"/>
  <c r="K19" i="25"/>
  <c r="L19" i="25" s="1"/>
  <c r="D19" i="25"/>
  <c r="K18" i="25"/>
  <c r="L18" i="25" s="1"/>
  <c r="D18" i="25"/>
  <c r="K17" i="25"/>
  <c r="L17" i="25" s="1"/>
  <c r="E17" i="25"/>
  <c r="G17" i="25" s="1"/>
  <c r="H17" i="25" s="1"/>
  <c r="D17" i="25"/>
  <c r="L16" i="25"/>
  <c r="K16" i="25"/>
  <c r="E16" i="25"/>
  <c r="G16" i="25" s="1"/>
  <c r="H16" i="25" s="1"/>
  <c r="D16" i="25"/>
  <c r="K15" i="25"/>
  <c r="L15" i="25" s="1"/>
  <c r="D15" i="25"/>
  <c r="K14" i="25"/>
  <c r="L14" i="25" s="1"/>
  <c r="D14" i="25"/>
  <c r="K13" i="25"/>
  <c r="L13" i="25" s="1"/>
  <c r="D13" i="25"/>
  <c r="K12" i="25"/>
  <c r="L12" i="25" s="1"/>
  <c r="D12" i="25"/>
  <c r="K11" i="25"/>
  <c r="L11" i="25" s="1"/>
  <c r="E11" i="25"/>
  <c r="G11" i="25" s="1"/>
  <c r="H11" i="25" s="1"/>
  <c r="D11" i="25"/>
  <c r="K10" i="25"/>
  <c r="L10" i="25" s="1"/>
  <c r="D10" i="25"/>
  <c r="L59" i="5"/>
  <c r="L58" i="5"/>
  <c r="L54" i="5"/>
  <c r="L53" i="5"/>
  <c r="L49" i="5"/>
  <c r="L48" i="5"/>
  <c r="L39" i="5"/>
  <c r="L38" i="5"/>
  <c r="L34" i="5"/>
  <c r="L33" i="5"/>
  <c r="I30" i="6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I10" i="21" s="1"/>
  <c r="E14" i="25" l="1"/>
  <c r="G14" i="25" s="1"/>
  <c r="H14" i="25" s="1"/>
  <c r="E22" i="25"/>
  <c r="G22" i="25" s="1"/>
  <c r="H22" i="25" s="1"/>
  <c r="E19" i="25"/>
  <c r="G19" i="25" s="1"/>
  <c r="H19" i="25" s="1"/>
  <c r="O19" i="25" s="1"/>
  <c r="P19" i="25" s="1"/>
  <c r="E24" i="25"/>
  <c r="G24" i="25" s="1"/>
  <c r="H24" i="25" s="1"/>
  <c r="O24" i="25" s="1"/>
  <c r="P24" i="25" s="1"/>
  <c r="E28" i="25"/>
  <c r="G28" i="25" s="1"/>
  <c r="H28" i="25" s="1"/>
  <c r="O28" i="25" s="1"/>
  <c r="P28" i="25" s="1"/>
  <c r="E12" i="25"/>
  <c r="G12" i="25" s="1"/>
  <c r="H12" i="25" s="1"/>
  <c r="E13" i="25"/>
  <c r="G13" i="25" s="1"/>
  <c r="H13" i="25" s="1"/>
  <c r="O13" i="25" s="1"/>
  <c r="P13" i="25" s="1"/>
  <c r="E18" i="25"/>
  <c r="G18" i="25" s="1"/>
  <c r="H18" i="25" s="1"/>
  <c r="E23" i="25"/>
  <c r="G23" i="25" s="1"/>
  <c r="H23" i="25" s="1"/>
  <c r="E27" i="25"/>
  <c r="G27" i="25" s="1"/>
  <c r="H27" i="25" s="1"/>
  <c r="E10" i="25"/>
  <c r="G10" i="25" s="1"/>
  <c r="H10" i="25" s="1"/>
  <c r="E15" i="25"/>
  <c r="G15" i="25" s="1"/>
  <c r="H15" i="25" s="1"/>
  <c r="E20" i="25"/>
  <c r="G20" i="25" s="1"/>
  <c r="H20" i="25" s="1"/>
  <c r="O20" i="25" s="1"/>
  <c r="P20" i="25" s="1"/>
  <c r="E21" i="25"/>
  <c r="G21" i="25" s="1"/>
  <c r="H21" i="25" s="1"/>
  <c r="E25" i="25"/>
  <c r="G25" i="25" s="1"/>
  <c r="H25" i="25" s="1"/>
  <c r="O25" i="25" s="1"/>
  <c r="P25" i="25" s="1"/>
  <c r="C44" i="12"/>
  <c r="E44" i="12" s="1"/>
  <c r="C14" i="12"/>
  <c r="I15" i="21"/>
  <c r="C52" i="12"/>
  <c r="E52" i="12" s="1"/>
  <c r="C22" i="12"/>
  <c r="I23" i="21"/>
  <c r="C41" i="12"/>
  <c r="E41" i="12" s="1"/>
  <c r="C11" i="12"/>
  <c r="I12" i="21"/>
  <c r="C49" i="12"/>
  <c r="E49" i="12" s="1"/>
  <c r="C19" i="12"/>
  <c r="I20" i="21"/>
  <c r="C57" i="12"/>
  <c r="E57" i="12" s="1"/>
  <c r="C27" i="12"/>
  <c r="I28" i="21"/>
  <c r="C42" i="12"/>
  <c r="C12" i="12"/>
  <c r="I13" i="21"/>
  <c r="C46" i="12"/>
  <c r="E46" i="12" s="1"/>
  <c r="C16" i="12"/>
  <c r="I17" i="21"/>
  <c r="C50" i="12"/>
  <c r="E50" i="12" s="1"/>
  <c r="C20" i="12"/>
  <c r="I21" i="21"/>
  <c r="C54" i="12"/>
  <c r="E54" i="12" s="1"/>
  <c r="C24" i="12"/>
  <c r="I25" i="21"/>
  <c r="C58" i="12"/>
  <c r="E58" i="12" s="1"/>
  <c r="C28" i="12"/>
  <c r="I29" i="21"/>
  <c r="C40" i="12"/>
  <c r="E40" i="12" s="1"/>
  <c r="C10" i="12"/>
  <c r="I11" i="21"/>
  <c r="C48" i="12"/>
  <c r="E48" i="12" s="1"/>
  <c r="C18" i="12"/>
  <c r="I19" i="21"/>
  <c r="C56" i="12"/>
  <c r="E56" i="12" s="1"/>
  <c r="C26" i="12"/>
  <c r="I27" i="21"/>
  <c r="C45" i="12"/>
  <c r="E45" i="12" s="1"/>
  <c r="C15" i="12"/>
  <c r="I16" i="21"/>
  <c r="C53" i="12"/>
  <c r="E53" i="12" s="1"/>
  <c r="C23" i="12"/>
  <c r="I24" i="21"/>
  <c r="C39" i="12"/>
  <c r="E39" i="12" s="1"/>
  <c r="C9" i="12"/>
  <c r="C43" i="12"/>
  <c r="E43" i="12" s="1"/>
  <c r="C13" i="12"/>
  <c r="I14" i="21"/>
  <c r="C47" i="12"/>
  <c r="E47" i="12" s="1"/>
  <c r="C17" i="12"/>
  <c r="I18" i="21"/>
  <c r="C51" i="12"/>
  <c r="E51" i="12" s="1"/>
  <c r="C21" i="12"/>
  <c r="I22" i="21"/>
  <c r="C55" i="12"/>
  <c r="E55" i="12" s="1"/>
  <c r="C25" i="12"/>
  <c r="I26" i="21"/>
  <c r="O15" i="25"/>
  <c r="P15" i="25" s="1"/>
  <c r="O23" i="25"/>
  <c r="P23" i="25" s="1"/>
  <c r="D30" i="25"/>
  <c r="O14" i="25"/>
  <c r="P14" i="25" s="1"/>
  <c r="O22" i="25"/>
  <c r="P22" i="25" s="1"/>
  <c r="O11" i="25"/>
  <c r="P11" i="25" s="1"/>
  <c r="O21" i="25"/>
  <c r="P21" i="25" s="1"/>
  <c r="O27" i="25"/>
  <c r="P27" i="25" s="1"/>
  <c r="O29" i="25"/>
  <c r="P29" i="25" s="1"/>
  <c r="L30" i="25"/>
  <c r="O18" i="25"/>
  <c r="P18" i="25" s="1"/>
  <c r="O26" i="25"/>
  <c r="P26" i="25" s="1"/>
  <c r="O17" i="25"/>
  <c r="P17" i="25" s="1"/>
  <c r="O12" i="25"/>
  <c r="P12" i="25" s="1"/>
  <c r="O16" i="25"/>
  <c r="P16" i="25" s="1"/>
  <c r="K30" i="25"/>
  <c r="E30" i="25" l="1"/>
  <c r="G30" i="25" s="1"/>
  <c r="G53" i="12"/>
  <c r="G40" i="12"/>
  <c r="G46" i="12"/>
  <c r="G55" i="12"/>
  <c r="G48" i="12"/>
  <c r="G49" i="12"/>
  <c r="G47" i="12"/>
  <c r="G45" i="12"/>
  <c r="G58" i="12"/>
  <c r="G52" i="12"/>
  <c r="G51" i="12"/>
  <c r="G41" i="12"/>
  <c r="G50" i="12"/>
  <c r="G43" i="12"/>
  <c r="G56" i="12"/>
  <c r="G54" i="12"/>
  <c r="G57" i="12"/>
  <c r="G44" i="12"/>
  <c r="I30" i="21"/>
  <c r="C59" i="12"/>
  <c r="E42" i="12"/>
  <c r="E59" i="12" s="1"/>
  <c r="G39" i="12"/>
  <c r="H30" i="25"/>
  <c r="O10" i="25"/>
  <c r="J22" i="21" l="1"/>
  <c r="J10" i="21"/>
  <c r="E9" i="17" s="1"/>
  <c r="J18" i="21"/>
  <c r="J17" i="21"/>
  <c r="J24" i="21"/>
  <c r="G42" i="12"/>
  <c r="G59" i="12" s="1"/>
  <c r="J23" i="21"/>
  <c r="J29" i="21"/>
  <c r="J21" i="21"/>
  <c r="J28" i="21"/>
  <c r="J13" i="21"/>
  <c r="J16" i="21"/>
  <c r="J19" i="21"/>
  <c r="J27" i="21"/>
  <c r="J20" i="21"/>
  <c r="J12" i="21"/>
  <c r="J11" i="21"/>
  <c r="J14" i="21"/>
  <c r="J15" i="21"/>
  <c r="J25" i="21"/>
  <c r="J26" i="21"/>
  <c r="P10" i="25"/>
  <c r="O30" i="25"/>
  <c r="K15" i="21" l="1"/>
  <c r="E14" i="17"/>
  <c r="E14" i="18" s="1"/>
  <c r="K20" i="21"/>
  <c r="E19" i="17"/>
  <c r="E19" i="18" s="1"/>
  <c r="K13" i="21"/>
  <c r="E12" i="17"/>
  <c r="E12" i="18" s="1"/>
  <c r="K23" i="21"/>
  <c r="E22" i="17"/>
  <c r="E22" i="18" s="1"/>
  <c r="K18" i="21"/>
  <c r="E17" i="17"/>
  <c r="E17" i="18" s="1"/>
  <c r="K14" i="21"/>
  <c r="E13" i="17"/>
  <c r="E13" i="18" s="1"/>
  <c r="K27" i="21"/>
  <c r="E26" i="17"/>
  <c r="E26" i="18" s="1"/>
  <c r="K28" i="21"/>
  <c r="E27" i="17"/>
  <c r="E27" i="18" s="1"/>
  <c r="E9" i="18"/>
  <c r="F9" i="17"/>
  <c r="K26" i="21"/>
  <c r="E25" i="17"/>
  <c r="E25" i="18" s="1"/>
  <c r="K11" i="21"/>
  <c r="E10" i="17"/>
  <c r="K19" i="21"/>
  <c r="E18" i="17"/>
  <c r="E18" i="18" s="1"/>
  <c r="K21" i="21"/>
  <c r="E20" i="17"/>
  <c r="E20" i="18" s="1"/>
  <c r="K24" i="21"/>
  <c r="E23" i="17"/>
  <c r="E23" i="18" s="1"/>
  <c r="K22" i="21"/>
  <c r="E21" i="17"/>
  <c r="E21" i="18" s="1"/>
  <c r="K25" i="21"/>
  <c r="E24" i="17"/>
  <c r="E24" i="18" s="1"/>
  <c r="K12" i="21"/>
  <c r="E11" i="17"/>
  <c r="E11" i="18" s="1"/>
  <c r="K16" i="21"/>
  <c r="E15" i="17"/>
  <c r="E15" i="18" s="1"/>
  <c r="K29" i="21"/>
  <c r="E28" i="17"/>
  <c r="E28" i="18" s="1"/>
  <c r="K17" i="21"/>
  <c r="E16" i="17"/>
  <c r="E16" i="18" s="1"/>
  <c r="J30" i="21"/>
  <c r="K10" i="21"/>
  <c r="P30" i="25"/>
  <c r="Q10" i="25" s="1"/>
  <c r="E10" i="18" l="1"/>
  <c r="F10" i="17"/>
  <c r="K30" i="21"/>
  <c r="R10" i="25"/>
  <c r="Q11" i="25"/>
  <c r="R11" i="25" s="1"/>
  <c r="Q12" i="25"/>
  <c r="R12" i="25" s="1"/>
  <c r="Q24" i="25"/>
  <c r="R24" i="25" s="1"/>
  <c r="Q13" i="25"/>
  <c r="R13" i="25" s="1"/>
  <c r="Q18" i="25"/>
  <c r="R18" i="25" s="1"/>
  <c r="Q23" i="25"/>
  <c r="R23" i="25" s="1"/>
  <c r="Q16" i="25"/>
  <c r="R16" i="25" s="1"/>
  <c r="Q15" i="25"/>
  <c r="R15" i="25" s="1"/>
  <c r="Q19" i="25"/>
  <c r="R19" i="25" s="1"/>
  <c r="Q20" i="25"/>
  <c r="R20" i="25" s="1"/>
  <c r="Q25" i="25"/>
  <c r="R25" i="25" s="1"/>
  <c r="Q27" i="25"/>
  <c r="R27" i="25" s="1"/>
  <c r="Q29" i="25"/>
  <c r="R29" i="25" s="1"/>
  <c r="Q28" i="25"/>
  <c r="R28" i="25" s="1"/>
  <c r="Q14" i="25"/>
  <c r="R14" i="25" s="1"/>
  <c r="Q17" i="25"/>
  <c r="R17" i="25" s="1"/>
  <c r="Q26" i="25"/>
  <c r="R26" i="25" s="1"/>
  <c r="Q21" i="25"/>
  <c r="R21" i="25" s="1"/>
  <c r="Q22" i="25"/>
  <c r="R22" i="25" s="1"/>
  <c r="R30" i="25" l="1"/>
  <c r="Q30" i="25"/>
  <c r="L101" i="5" l="1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101" i="5" l="1"/>
  <c r="K45" i="5"/>
  <c r="B27" i="23"/>
  <c r="N15" i="21"/>
  <c r="O15" i="21" s="1"/>
  <c r="N17" i="21"/>
  <c r="O17" i="21" s="1"/>
  <c r="N19" i="21"/>
  <c r="O19" i="21" s="1"/>
  <c r="N23" i="21"/>
  <c r="O23" i="21" s="1"/>
  <c r="N25" i="21"/>
  <c r="O25" i="21" s="1"/>
  <c r="N27" i="21"/>
  <c r="O27" i="21" s="1"/>
  <c r="N28" i="21"/>
  <c r="O28" i="21" s="1"/>
  <c r="N29" i="21"/>
  <c r="O29" i="21" s="1"/>
  <c r="N10" i="21"/>
  <c r="O10" i="21" s="1"/>
  <c r="C29" i="19"/>
  <c r="E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L13" i="18" l="1"/>
  <c r="M13" i="18" s="1"/>
  <c r="L25" i="18"/>
  <c r="L20" i="18"/>
  <c r="M20" i="18" s="1"/>
  <c r="L10" i="18"/>
  <c r="K10" i="18" s="1"/>
  <c r="L14" i="18"/>
  <c r="M14" i="18" s="1"/>
  <c r="L18" i="18"/>
  <c r="M18" i="18" s="1"/>
  <c r="L22" i="18"/>
  <c r="K22" i="18" s="1"/>
  <c r="L26" i="18"/>
  <c r="M26" i="18" s="1"/>
  <c r="L24" i="18"/>
  <c r="M24" i="18" s="1"/>
  <c r="L21" i="18"/>
  <c r="M21" i="18" s="1"/>
  <c r="L12" i="18"/>
  <c r="K12" i="18" s="1"/>
  <c r="N11" i="21"/>
  <c r="O11" i="21" s="1"/>
  <c r="N14" i="21"/>
  <c r="O14" i="21" s="1"/>
  <c r="N26" i="21"/>
  <c r="O26" i="21" s="1"/>
  <c r="N21" i="21"/>
  <c r="O21" i="21" s="1"/>
  <c r="N13" i="21"/>
  <c r="O13" i="21" s="1"/>
  <c r="N22" i="21"/>
  <c r="O22" i="21" s="1"/>
  <c r="N24" i="21"/>
  <c r="O24" i="21" s="1"/>
  <c r="N20" i="21"/>
  <c r="O20" i="21" s="1"/>
  <c r="N16" i="21"/>
  <c r="O16" i="21" s="1"/>
  <c r="N12" i="21"/>
  <c r="O12" i="21" s="1"/>
  <c r="N18" i="21"/>
  <c r="O18" i="21" s="1"/>
  <c r="L11" i="18"/>
  <c r="K11" i="18" s="1"/>
  <c r="L15" i="18"/>
  <c r="K15" i="18" s="1"/>
  <c r="L19" i="18"/>
  <c r="M19" i="18" s="1"/>
  <c r="L23" i="18"/>
  <c r="K23" i="18" s="1"/>
  <c r="L27" i="18"/>
  <c r="M27" i="18" s="1"/>
  <c r="G29" i="19"/>
  <c r="H29" i="19" s="1"/>
  <c r="F29" i="19"/>
  <c r="L17" i="18"/>
  <c r="M17" i="18" s="1"/>
  <c r="L16" i="18"/>
  <c r="M16" i="18" s="1"/>
  <c r="L28" i="18"/>
  <c r="M28" i="18" s="1"/>
  <c r="K14" i="18"/>
  <c r="K18" i="18"/>
  <c r="K19" i="18"/>
  <c r="M25" i="18"/>
  <c r="K25" i="18"/>
  <c r="L9" i="18"/>
  <c r="M12" i="18" l="1"/>
  <c r="K21" i="18"/>
  <c r="M23" i="18"/>
  <c r="K13" i="18"/>
  <c r="K16" i="18"/>
  <c r="K20" i="18"/>
  <c r="K27" i="18"/>
  <c r="M22" i="18"/>
  <c r="K26" i="18"/>
  <c r="K17" i="18"/>
  <c r="M15" i="18"/>
  <c r="M10" i="18"/>
  <c r="K24" i="18"/>
  <c r="M11" i="18"/>
  <c r="K28" i="18"/>
  <c r="H25" i="19"/>
  <c r="I25" i="19" s="1"/>
  <c r="J25" i="19" s="1"/>
  <c r="H9" i="19"/>
  <c r="I9" i="19" s="1"/>
  <c r="J9" i="19" s="1"/>
  <c r="H23" i="19"/>
  <c r="I23" i="19" s="1"/>
  <c r="J23" i="19" s="1"/>
  <c r="H19" i="19"/>
  <c r="I19" i="19" s="1"/>
  <c r="J19" i="19" s="1"/>
  <c r="H13" i="19"/>
  <c r="I13" i="19" s="1"/>
  <c r="J13" i="19" s="1"/>
  <c r="H14" i="19"/>
  <c r="I14" i="19" s="1"/>
  <c r="J14" i="19" s="1"/>
  <c r="H27" i="19"/>
  <c r="I27" i="19" s="1"/>
  <c r="J27" i="19" s="1"/>
  <c r="H17" i="19"/>
  <c r="I17" i="19" s="1"/>
  <c r="J17" i="19" s="1"/>
  <c r="H16" i="19"/>
  <c r="I16" i="19" s="1"/>
  <c r="J16" i="19" s="1"/>
  <c r="H12" i="19"/>
  <c r="I12" i="19" s="1"/>
  <c r="J12" i="19" s="1"/>
  <c r="O30" i="21"/>
  <c r="P19" i="21" s="1"/>
  <c r="Q19" i="21" s="1"/>
  <c r="H21" i="19"/>
  <c r="I21" i="19" s="1"/>
  <c r="J21" i="19" s="1"/>
  <c r="H15" i="19"/>
  <c r="I15" i="19" s="1"/>
  <c r="J15" i="19" s="1"/>
  <c r="H11" i="19"/>
  <c r="I11" i="19" s="1"/>
  <c r="J11" i="19" s="1"/>
  <c r="H28" i="19"/>
  <c r="I28" i="19" s="1"/>
  <c r="J28" i="19" s="1"/>
  <c r="H26" i="19"/>
  <c r="I26" i="19" s="1"/>
  <c r="J26" i="19" s="1"/>
  <c r="H24" i="19"/>
  <c r="I24" i="19" s="1"/>
  <c r="J24" i="19" s="1"/>
  <c r="H22" i="19"/>
  <c r="I22" i="19" s="1"/>
  <c r="J22" i="19" s="1"/>
  <c r="H20" i="19"/>
  <c r="I20" i="19" s="1"/>
  <c r="J20" i="19" s="1"/>
  <c r="H18" i="19"/>
  <c r="I18" i="19" s="1"/>
  <c r="J18" i="19" s="1"/>
  <c r="H10" i="19"/>
  <c r="I10" i="19" s="1"/>
  <c r="J10" i="19" s="1"/>
  <c r="M9" i="18"/>
  <c r="L29" i="18"/>
  <c r="P21" i="21" l="1"/>
  <c r="Q21" i="21" s="1"/>
  <c r="P11" i="21"/>
  <c r="Q11" i="21" s="1"/>
  <c r="P29" i="21"/>
  <c r="Q29" i="21" s="1"/>
  <c r="P13" i="21"/>
  <c r="Q13" i="21" s="1"/>
  <c r="P26" i="21"/>
  <c r="Q26" i="21" s="1"/>
  <c r="P18" i="21"/>
  <c r="Q18" i="21" s="1"/>
  <c r="P28" i="21"/>
  <c r="Q28" i="21" s="1"/>
  <c r="P12" i="21"/>
  <c r="Q12" i="21" s="1"/>
  <c r="P14" i="21"/>
  <c r="Q14" i="21" s="1"/>
  <c r="P22" i="21"/>
  <c r="Q22" i="21" s="1"/>
  <c r="P10" i="21"/>
  <c r="Q10" i="21" s="1"/>
  <c r="P23" i="21"/>
  <c r="Q23" i="21" s="1"/>
  <c r="P16" i="21"/>
  <c r="Q16" i="21" s="1"/>
  <c r="P17" i="21"/>
  <c r="Q17" i="21" s="1"/>
  <c r="P27" i="21"/>
  <c r="Q27" i="21" s="1"/>
  <c r="P24" i="21"/>
  <c r="Q24" i="21" s="1"/>
  <c r="P20" i="21"/>
  <c r="Q20" i="21" s="1"/>
  <c r="P25" i="21"/>
  <c r="Q25" i="21" s="1"/>
  <c r="P15" i="21"/>
  <c r="Q15" i="21" s="1"/>
  <c r="I29" i="19"/>
  <c r="J29" i="19" s="1"/>
  <c r="M29" i="18"/>
  <c r="N9" i="18" s="1"/>
  <c r="P30" i="21" l="1"/>
  <c r="Q30" i="21"/>
  <c r="O9" i="18"/>
  <c r="N25" i="18"/>
  <c r="O25" i="18" s="1"/>
  <c r="N21" i="18"/>
  <c r="O21" i="18" s="1"/>
  <c r="N17" i="18"/>
  <c r="O17" i="18" s="1"/>
  <c r="N13" i="18"/>
  <c r="O13" i="18" s="1"/>
  <c r="N28" i="18"/>
  <c r="O28" i="18" s="1"/>
  <c r="N24" i="18"/>
  <c r="O24" i="18" s="1"/>
  <c r="N20" i="18"/>
  <c r="O20" i="18" s="1"/>
  <c r="N16" i="18"/>
  <c r="O16" i="18" s="1"/>
  <c r="N12" i="18"/>
  <c r="O12" i="18" s="1"/>
  <c r="N27" i="18"/>
  <c r="O27" i="18" s="1"/>
  <c r="N23" i="18"/>
  <c r="O23" i="18" s="1"/>
  <c r="N19" i="18"/>
  <c r="O19" i="18" s="1"/>
  <c r="N15" i="18"/>
  <c r="O15" i="18" s="1"/>
  <c r="N11" i="18"/>
  <c r="O11" i="18" s="1"/>
  <c r="N26" i="18"/>
  <c r="O26" i="18" s="1"/>
  <c r="N22" i="18"/>
  <c r="O22" i="18" s="1"/>
  <c r="N18" i="18"/>
  <c r="O18" i="18" s="1"/>
  <c r="N14" i="18"/>
  <c r="O14" i="18" s="1"/>
  <c r="N10" i="18"/>
  <c r="O10" i="18" s="1"/>
  <c r="N29" i="18" l="1"/>
  <c r="E29" i="17" l="1"/>
  <c r="C29" i="17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9" i="17"/>
  <c r="D19" i="17"/>
  <c r="F18" i="17"/>
  <c r="D18" i="17"/>
  <c r="F17" i="17"/>
  <c r="D17" i="17"/>
  <c r="F16" i="17"/>
  <c r="D16" i="17"/>
  <c r="F15" i="17"/>
  <c r="D15" i="17"/>
  <c r="F14" i="17"/>
  <c r="D14" i="17"/>
  <c r="F13" i="17"/>
  <c r="D13" i="17"/>
  <c r="F12" i="17"/>
  <c r="D12" i="17"/>
  <c r="F11" i="17"/>
  <c r="D11" i="17"/>
  <c r="D10" i="17"/>
  <c r="D9" i="17"/>
  <c r="G9" i="17" s="1"/>
  <c r="H9" i="17" s="1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C28" i="16"/>
  <c r="D28" i="16" s="1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G11" i="17" l="1"/>
  <c r="H11" i="17" s="1"/>
  <c r="G13" i="17"/>
  <c r="H13" i="17" s="1"/>
  <c r="G15" i="17"/>
  <c r="H15" i="17" s="1"/>
  <c r="G17" i="17"/>
  <c r="H17" i="17" s="1"/>
  <c r="G19" i="17"/>
  <c r="H19" i="17" s="1"/>
  <c r="G21" i="17"/>
  <c r="H21" i="17" s="1"/>
  <c r="G23" i="17"/>
  <c r="H23" i="17" s="1"/>
  <c r="G25" i="17"/>
  <c r="H25" i="17" s="1"/>
  <c r="G27" i="17"/>
  <c r="H27" i="17" s="1"/>
  <c r="D29" i="17"/>
  <c r="G10" i="17"/>
  <c r="H10" i="17" s="1"/>
  <c r="G12" i="17"/>
  <c r="H12" i="17" s="1"/>
  <c r="G16" i="17"/>
  <c r="H16" i="17" s="1"/>
  <c r="G18" i="17"/>
  <c r="H18" i="17" s="1"/>
  <c r="G20" i="17"/>
  <c r="H20" i="17" s="1"/>
  <c r="G22" i="17"/>
  <c r="H22" i="17" s="1"/>
  <c r="G24" i="17"/>
  <c r="H24" i="17" s="1"/>
  <c r="G26" i="17"/>
  <c r="H26" i="17" s="1"/>
  <c r="G28" i="17"/>
  <c r="H28" i="17" s="1"/>
  <c r="G14" i="17"/>
  <c r="H14" i="17" s="1"/>
  <c r="F29" i="17"/>
  <c r="G29" i="17" l="1"/>
  <c r="H29" i="17" l="1"/>
  <c r="I25" i="17" l="1"/>
  <c r="G25" i="18" s="1"/>
  <c r="H25" i="18" s="1"/>
  <c r="I25" i="18" s="1"/>
  <c r="I12" i="17"/>
  <c r="I20" i="17"/>
  <c r="I26" i="17"/>
  <c r="I9" i="17"/>
  <c r="G9" i="18" s="1"/>
  <c r="I18" i="17"/>
  <c r="I17" i="17"/>
  <c r="I23" i="17"/>
  <c r="I10" i="17"/>
  <c r="I11" i="17"/>
  <c r="G11" i="18" s="1"/>
  <c r="H11" i="18" s="1"/>
  <c r="I11" i="18" s="1"/>
  <c r="I19" i="17"/>
  <c r="I14" i="17"/>
  <c r="I15" i="17"/>
  <c r="I21" i="17"/>
  <c r="I27" i="17"/>
  <c r="I16" i="17"/>
  <c r="I22" i="17"/>
  <c r="I28" i="17"/>
  <c r="I13" i="17"/>
  <c r="I24" i="17"/>
  <c r="G24" i="18" s="1"/>
  <c r="H24" i="18" s="1"/>
  <c r="I24" i="18" s="1"/>
  <c r="J9" i="17"/>
  <c r="K9" i="17" s="1"/>
  <c r="J11" i="17"/>
  <c r="K11" i="17" s="1"/>
  <c r="L9" i="17" l="1"/>
  <c r="AI10" i="25" s="1"/>
  <c r="AK10" i="25" s="1"/>
  <c r="AH10" i="25"/>
  <c r="L11" i="17"/>
  <c r="AI12" i="25" s="1"/>
  <c r="AK12" i="25" s="1"/>
  <c r="AH12" i="25"/>
  <c r="J24" i="17"/>
  <c r="K24" i="17" s="1"/>
  <c r="J15" i="17"/>
  <c r="K15" i="17" s="1"/>
  <c r="G15" i="18"/>
  <c r="H15" i="18" s="1"/>
  <c r="I15" i="18" s="1"/>
  <c r="H9" i="18"/>
  <c r="I9" i="18" s="1"/>
  <c r="J16" i="17"/>
  <c r="K16" i="17" s="1"/>
  <c r="G16" i="18"/>
  <c r="H16" i="18" s="1"/>
  <c r="I16" i="18" s="1"/>
  <c r="J14" i="17"/>
  <c r="K14" i="17" s="1"/>
  <c r="G14" i="18"/>
  <c r="H14" i="18" s="1"/>
  <c r="I14" i="18" s="1"/>
  <c r="J23" i="17"/>
  <c r="K23" i="17" s="1"/>
  <c r="G23" i="18"/>
  <c r="H23" i="18" s="1"/>
  <c r="I23" i="18" s="1"/>
  <c r="J26" i="17"/>
  <c r="K26" i="17" s="1"/>
  <c r="G26" i="18"/>
  <c r="H26" i="18" s="1"/>
  <c r="I26" i="18" s="1"/>
  <c r="J22" i="17"/>
  <c r="K22" i="17" s="1"/>
  <c r="G22" i="18"/>
  <c r="H22" i="18" s="1"/>
  <c r="I22" i="18" s="1"/>
  <c r="J10" i="17"/>
  <c r="K10" i="17" s="1"/>
  <c r="G10" i="18"/>
  <c r="H10" i="18" s="1"/>
  <c r="I10" i="18" s="1"/>
  <c r="J25" i="17"/>
  <c r="K25" i="17" s="1"/>
  <c r="J13" i="17"/>
  <c r="K13" i="17" s="1"/>
  <c r="G13" i="18"/>
  <c r="H13" i="18" s="1"/>
  <c r="I13" i="18" s="1"/>
  <c r="J27" i="17"/>
  <c r="K27" i="17" s="1"/>
  <c r="G27" i="18"/>
  <c r="H27" i="18" s="1"/>
  <c r="I27" i="18" s="1"/>
  <c r="J19" i="17"/>
  <c r="K19" i="17" s="1"/>
  <c r="G19" i="18"/>
  <c r="H19" i="18" s="1"/>
  <c r="I19" i="18" s="1"/>
  <c r="J17" i="17"/>
  <c r="K17" i="17" s="1"/>
  <c r="G17" i="18"/>
  <c r="H17" i="18" s="1"/>
  <c r="I17" i="18" s="1"/>
  <c r="J20" i="17"/>
  <c r="K20" i="17" s="1"/>
  <c r="G20" i="18"/>
  <c r="H20" i="18" s="1"/>
  <c r="I20" i="18" s="1"/>
  <c r="J28" i="17"/>
  <c r="K28" i="17" s="1"/>
  <c r="G28" i="18"/>
  <c r="H28" i="18" s="1"/>
  <c r="I28" i="18" s="1"/>
  <c r="J21" i="17"/>
  <c r="K21" i="17" s="1"/>
  <c r="G21" i="18"/>
  <c r="H21" i="18" s="1"/>
  <c r="I21" i="18" s="1"/>
  <c r="J18" i="17"/>
  <c r="K18" i="17" s="1"/>
  <c r="G18" i="18"/>
  <c r="H18" i="18" s="1"/>
  <c r="I18" i="18" s="1"/>
  <c r="J12" i="17"/>
  <c r="K12" i="17" s="1"/>
  <c r="G12" i="18"/>
  <c r="H12" i="18" s="1"/>
  <c r="I12" i="18" s="1"/>
  <c r="I29" i="17"/>
  <c r="L22" i="17" l="1"/>
  <c r="AI23" i="25" s="1"/>
  <c r="AK23" i="25" s="1"/>
  <c r="AH23" i="25"/>
  <c r="L23" i="17"/>
  <c r="AI24" i="25" s="1"/>
  <c r="AK24" i="25" s="1"/>
  <c r="AH24" i="25"/>
  <c r="L16" i="17"/>
  <c r="AI17" i="25" s="1"/>
  <c r="AK17" i="25" s="1"/>
  <c r="AH17" i="25"/>
  <c r="L18" i="17"/>
  <c r="AI19" i="25" s="1"/>
  <c r="AK19" i="25" s="1"/>
  <c r="AH19" i="25"/>
  <c r="L28" i="17"/>
  <c r="AI29" i="25" s="1"/>
  <c r="AK29" i="25" s="1"/>
  <c r="AH29" i="25"/>
  <c r="L17" i="17"/>
  <c r="AI18" i="25" s="1"/>
  <c r="AK18" i="25" s="1"/>
  <c r="AH18" i="25"/>
  <c r="L27" i="17"/>
  <c r="AI28" i="25" s="1"/>
  <c r="AK28" i="25" s="1"/>
  <c r="AH28" i="25"/>
  <c r="L10" i="17"/>
  <c r="AI11" i="25" s="1"/>
  <c r="AK11" i="25" s="1"/>
  <c r="AH11" i="25"/>
  <c r="L26" i="17"/>
  <c r="AI27" i="25" s="1"/>
  <c r="AK27" i="25" s="1"/>
  <c r="AH27" i="25"/>
  <c r="L14" i="17"/>
  <c r="AI15" i="25" s="1"/>
  <c r="AK15" i="25" s="1"/>
  <c r="AH15" i="25"/>
  <c r="L12" i="17"/>
  <c r="AI13" i="25" s="1"/>
  <c r="AK13" i="25" s="1"/>
  <c r="AH13" i="25"/>
  <c r="L21" i="17"/>
  <c r="AI22" i="25" s="1"/>
  <c r="AK22" i="25" s="1"/>
  <c r="AH22" i="25"/>
  <c r="L20" i="17"/>
  <c r="AI21" i="25" s="1"/>
  <c r="AK21" i="25" s="1"/>
  <c r="AH21" i="25"/>
  <c r="L19" i="17"/>
  <c r="AI20" i="25" s="1"/>
  <c r="AK20" i="25" s="1"/>
  <c r="AH20" i="25"/>
  <c r="L13" i="17"/>
  <c r="AI14" i="25" s="1"/>
  <c r="AK14" i="25" s="1"/>
  <c r="AH14" i="25"/>
  <c r="L15" i="17"/>
  <c r="AI16" i="25" s="1"/>
  <c r="AK16" i="25" s="1"/>
  <c r="AH16" i="25"/>
  <c r="L25" i="17"/>
  <c r="AI26" i="25" s="1"/>
  <c r="AK26" i="25" s="1"/>
  <c r="AH26" i="25"/>
  <c r="L24" i="17"/>
  <c r="AI25" i="25" s="1"/>
  <c r="AK25" i="25" s="1"/>
  <c r="AH25" i="25"/>
  <c r="G29" i="18"/>
  <c r="H29" i="18" s="1"/>
  <c r="I29" i="18" s="1"/>
  <c r="J29" i="17"/>
  <c r="AI30" i="25" l="1"/>
  <c r="AK30" i="25"/>
  <c r="AJ27" i="25" s="1"/>
  <c r="AH30" i="25"/>
  <c r="K29" i="17"/>
  <c r="AJ16" i="25" l="1"/>
  <c r="AJ13" i="25"/>
  <c r="AJ19" i="25"/>
  <c r="AJ17" i="25"/>
  <c r="AJ18" i="25"/>
  <c r="AJ29" i="25"/>
  <c r="AJ24" i="25"/>
  <c r="AJ22" i="25"/>
  <c r="AJ23" i="25"/>
  <c r="AJ26" i="25"/>
  <c r="AJ12" i="25"/>
  <c r="AJ10" i="25"/>
  <c r="AJ21" i="25"/>
  <c r="AJ20" i="25"/>
  <c r="AJ11" i="25"/>
  <c r="AJ15" i="25"/>
  <c r="AJ28" i="25"/>
  <c r="AJ14" i="25"/>
  <c r="AJ25" i="25"/>
  <c r="L29" i="17"/>
  <c r="AJ30" i="25" l="1"/>
  <c r="D18" i="8"/>
  <c r="D26" i="8"/>
  <c r="D25" i="8"/>
  <c r="D24" i="8"/>
  <c r="D23" i="8"/>
  <c r="D22" i="8"/>
  <c r="D21" i="8"/>
  <c r="D20" i="8"/>
  <c r="D19" i="8"/>
  <c r="D17" i="8"/>
  <c r="D16" i="8"/>
  <c r="D15" i="8"/>
  <c r="D14" i="8"/>
  <c r="D13" i="8"/>
  <c r="D12" i="8"/>
  <c r="D11" i="8"/>
  <c r="D10" i="8"/>
  <c r="D9" i="8"/>
  <c r="D8" i="8"/>
  <c r="D7" i="8"/>
  <c r="D29" i="19" l="1"/>
  <c r="H10" i="11" l="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9" i="11"/>
  <c r="D10" i="11"/>
  <c r="I10" i="11" s="1"/>
  <c r="J10" i="11" s="1"/>
  <c r="D11" i="11"/>
  <c r="I11" i="11" s="1"/>
  <c r="J11" i="11" s="1"/>
  <c r="D12" i="11"/>
  <c r="D13" i="11"/>
  <c r="D14" i="11"/>
  <c r="I14" i="11" s="1"/>
  <c r="J14" i="11" s="1"/>
  <c r="D15" i="11"/>
  <c r="I15" i="11" s="1"/>
  <c r="J15" i="11" s="1"/>
  <c r="D16" i="11"/>
  <c r="D17" i="11"/>
  <c r="D18" i="11"/>
  <c r="I18" i="11" s="1"/>
  <c r="J18" i="11" s="1"/>
  <c r="D19" i="11"/>
  <c r="I19" i="11" s="1"/>
  <c r="J19" i="11" s="1"/>
  <c r="D20" i="11"/>
  <c r="D21" i="11"/>
  <c r="D22" i="11"/>
  <c r="I22" i="11" s="1"/>
  <c r="J22" i="11" s="1"/>
  <c r="D23" i="11"/>
  <c r="I23" i="11" s="1"/>
  <c r="J23" i="11" s="1"/>
  <c r="D24" i="11"/>
  <c r="D25" i="11"/>
  <c r="D26" i="11"/>
  <c r="I26" i="11" s="1"/>
  <c r="J26" i="11" s="1"/>
  <c r="D27" i="11"/>
  <c r="I27" i="11" s="1"/>
  <c r="J27" i="11" s="1"/>
  <c r="D28" i="11"/>
  <c r="D29" i="11"/>
  <c r="D9" i="11"/>
  <c r="F28" i="10"/>
  <c r="E28" i="10"/>
  <c r="C28" i="10"/>
  <c r="I9" i="11" l="1"/>
  <c r="J9" i="11" s="1"/>
  <c r="I29" i="11"/>
  <c r="I25" i="11"/>
  <c r="J25" i="11" s="1"/>
  <c r="I21" i="11"/>
  <c r="J21" i="11" s="1"/>
  <c r="I17" i="11"/>
  <c r="J17" i="11" s="1"/>
  <c r="I13" i="11"/>
  <c r="J13" i="11" s="1"/>
  <c r="I28" i="11"/>
  <c r="J28" i="11" s="1"/>
  <c r="I24" i="11"/>
  <c r="J24" i="11" s="1"/>
  <c r="I20" i="11"/>
  <c r="J20" i="11" s="1"/>
  <c r="I16" i="11"/>
  <c r="J16" i="11" s="1"/>
  <c r="I12" i="11"/>
  <c r="J12" i="11" s="1"/>
  <c r="D28" i="10"/>
  <c r="D61" i="6"/>
  <c r="E60" i="6"/>
  <c r="F60" i="6" s="1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C27" i="8"/>
  <c r="K60" i="5"/>
  <c r="L60" i="5" s="1"/>
  <c r="K55" i="5"/>
  <c r="K50" i="5"/>
  <c r="L50" i="5" s="1"/>
  <c r="K40" i="5"/>
  <c r="L40" i="5" s="1"/>
  <c r="K35" i="5"/>
  <c r="L35" i="5" s="1"/>
  <c r="J27" i="8" s="1"/>
  <c r="P101" i="5"/>
  <c r="O101" i="5"/>
  <c r="K101" i="5"/>
  <c r="H101" i="5"/>
  <c r="G101" i="5"/>
  <c r="E101" i="5"/>
  <c r="D101" i="5"/>
  <c r="I100" i="5"/>
  <c r="F100" i="5"/>
  <c r="I99" i="5"/>
  <c r="F99" i="5"/>
  <c r="I98" i="5"/>
  <c r="F98" i="5"/>
  <c r="I97" i="5"/>
  <c r="F97" i="5"/>
  <c r="I96" i="5"/>
  <c r="F96" i="5"/>
  <c r="I95" i="5"/>
  <c r="F95" i="5"/>
  <c r="I94" i="5"/>
  <c r="F94" i="5"/>
  <c r="I93" i="5"/>
  <c r="F93" i="5"/>
  <c r="I92" i="5"/>
  <c r="F92" i="5"/>
  <c r="I91" i="5"/>
  <c r="F91" i="5"/>
  <c r="I90" i="5"/>
  <c r="F90" i="5"/>
  <c r="I89" i="5"/>
  <c r="F89" i="5"/>
  <c r="I88" i="5"/>
  <c r="F88" i="5"/>
  <c r="I87" i="5"/>
  <c r="F87" i="5"/>
  <c r="I86" i="5"/>
  <c r="F86" i="5"/>
  <c r="I85" i="5"/>
  <c r="F85" i="5"/>
  <c r="I84" i="5"/>
  <c r="F84" i="5"/>
  <c r="I83" i="5"/>
  <c r="F83" i="5"/>
  <c r="I82" i="5"/>
  <c r="F82" i="5"/>
  <c r="I81" i="5"/>
  <c r="F81" i="5"/>
  <c r="L55" i="5" l="1"/>
  <c r="G8" i="10"/>
  <c r="H8" i="10" s="1"/>
  <c r="Q101" i="5"/>
  <c r="J29" i="11"/>
  <c r="J82" i="5"/>
  <c r="J84" i="5"/>
  <c r="J86" i="5"/>
  <c r="J88" i="5"/>
  <c r="J90" i="5"/>
  <c r="J92" i="5"/>
  <c r="J94" i="5"/>
  <c r="J96" i="5"/>
  <c r="J99" i="5"/>
  <c r="G26" i="10"/>
  <c r="H26" i="10" s="1"/>
  <c r="G22" i="10"/>
  <c r="H22" i="10" s="1"/>
  <c r="G18" i="10"/>
  <c r="H18" i="10" s="1"/>
  <c r="G14" i="10"/>
  <c r="H14" i="10" s="1"/>
  <c r="G10" i="10"/>
  <c r="H10" i="10" s="1"/>
  <c r="G25" i="10"/>
  <c r="H25" i="10" s="1"/>
  <c r="G21" i="10"/>
  <c r="H21" i="10" s="1"/>
  <c r="G17" i="10"/>
  <c r="H17" i="10" s="1"/>
  <c r="G13" i="10"/>
  <c r="H13" i="10" s="1"/>
  <c r="G9" i="10"/>
  <c r="H9" i="10" s="1"/>
  <c r="G24" i="10"/>
  <c r="H24" i="10" s="1"/>
  <c r="G20" i="10"/>
  <c r="H20" i="10" s="1"/>
  <c r="G16" i="10"/>
  <c r="H16" i="10" s="1"/>
  <c r="G12" i="10"/>
  <c r="H12" i="10" s="1"/>
  <c r="G27" i="10"/>
  <c r="H27" i="10" s="1"/>
  <c r="G23" i="10"/>
  <c r="H23" i="10" s="1"/>
  <c r="G19" i="10"/>
  <c r="H19" i="10" s="1"/>
  <c r="G15" i="10"/>
  <c r="H15" i="10" s="1"/>
  <c r="G11" i="10"/>
  <c r="H11" i="10" s="1"/>
  <c r="J81" i="5"/>
  <c r="J83" i="5"/>
  <c r="J85" i="5"/>
  <c r="J87" i="5"/>
  <c r="J89" i="5"/>
  <c r="J91" i="5"/>
  <c r="J93" i="5"/>
  <c r="J95" i="5"/>
  <c r="J97" i="5"/>
  <c r="J98" i="5"/>
  <c r="F28" i="16"/>
  <c r="F11" i="16"/>
  <c r="G11" i="16" s="1"/>
  <c r="F15" i="16"/>
  <c r="G15" i="16" s="1"/>
  <c r="F19" i="16"/>
  <c r="G19" i="16" s="1"/>
  <c r="F23" i="16"/>
  <c r="G23" i="16" s="1"/>
  <c r="F27" i="16"/>
  <c r="G27" i="16" s="1"/>
  <c r="F20" i="16"/>
  <c r="G20" i="16" s="1"/>
  <c r="F16" i="16"/>
  <c r="G16" i="16" s="1"/>
  <c r="F24" i="16"/>
  <c r="G24" i="16" s="1"/>
  <c r="F9" i="16"/>
  <c r="G9" i="16" s="1"/>
  <c r="F13" i="16"/>
  <c r="G13" i="16" s="1"/>
  <c r="F17" i="16"/>
  <c r="G17" i="16" s="1"/>
  <c r="F21" i="16"/>
  <c r="G21" i="16" s="1"/>
  <c r="F25" i="16"/>
  <c r="G25" i="16" s="1"/>
  <c r="F10" i="16"/>
  <c r="G10" i="16" s="1"/>
  <c r="F14" i="16"/>
  <c r="G14" i="16" s="1"/>
  <c r="F18" i="16"/>
  <c r="G18" i="16" s="1"/>
  <c r="F22" i="16"/>
  <c r="G22" i="16" s="1"/>
  <c r="F26" i="16"/>
  <c r="G26" i="16" s="1"/>
  <c r="F12" i="16"/>
  <c r="G12" i="16" s="1"/>
  <c r="F8" i="16"/>
  <c r="G8" i="16" s="1"/>
  <c r="J100" i="5"/>
  <c r="M29" i="19"/>
  <c r="F101" i="5"/>
  <c r="I101" i="5"/>
  <c r="E61" i="6"/>
  <c r="F41" i="6"/>
  <c r="D27" i="8"/>
  <c r="G28" i="16" l="1"/>
  <c r="G28" i="10"/>
  <c r="H28" i="10" s="1"/>
  <c r="M19" i="19"/>
  <c r="M16" i="19"/>
  <c r="M12" i="19"/>
  <c r="M27" i="19"/>
  <c r="M23" i="19"/>
  <c r="M9" i="19"/>
  <c r="M17" i="19"/>
  <c r="M13" i="19"/>
  <c r="M25" i="19"/>
  <c r="M14" i="19"/>
  <c r="M18" i="19"/>
  <c r="M26" i="19"/>
  <c r="M21" i="19"/>
  <c r="M24" i="19"/>
  <c r="M15" i="19"/>
  <c r="M10" i="19"/>
  <c r="M22" i="19"/>
  <c r="M11" i="19"/>
  <c r="M20" i="19"/>
  <c r="M28" i="19"/>
  <c r="F61" i="6"/>
  <c r="K11" i="19" l="1"/>
  <c r="L11" i="19"/>
  <c r="L24" i="19"/>
  <c r="K24" i="19"/>
  <c r="L9" i="19"/>
  <c r="K9" i="19"/>
  <c r="L21" i="19"/>
  <c r="K21" i="19"/>
  <c r="K23" i="19"/>
  <c r="L23" i="19"/>
  <c r="K28" i="19"/>
  <c r="L28" i="19"/>
  <c r="L13" i="19"/>
  <c r="K13" i="19"/>
  <c r="L27" i="19"/>
  <c r="K27" i="19"/>
  <c r="K14" i="19"/>
  <c r="L14" i="19"/>
  <c r="K16" i="19"/>
  <c r="L16" i="19"/>
  <c r="L22" i="19"/>
  <c r="K22" i="19"/>
  <c r="L25" i="19"/>
  <c r="K25" i="19"/>
  <c r="K19" i="19"/>
  <c r="L19" i="19"/>
  <c r="L10" i="19"/>
  <c r="K10" i="19"/>
  <c r="L26" i="19"/>
  <c r="K26" i="19"/>
  <c r="K20" i="19"/>
  <c r="L20" i="19"/>
  <c r="L15" i="19"/>
  <c r="K15" i="19"/>
  <c r="L18" i="19"/>
  <c r="K18" i="19"/>
  <c r="L17" i="19"/>
  <c r="K17" i="19"/>
  <c r="K12" i="19"/>
  <c r="L12" i="19"/>
  <c r="N22" i="19"/>
  <c r="N21" i="19"/>
  <c r="N25" i="19"/>
  <c r="N23" i="19"/>
  <c r="N19" i="19"/>
  <c r="N28" i="19"/>
  <c r="N10" i="19"/>
  <c r="N26" i="19"/>
  <c r="N13" i="19"/>
  <c r="N27" i="19"/>
  <c r="N20" i="19"/>
  <c r="N15" i="19"/>
  <c r="N18" i="19"/>
  <c r="N17" i="19"/>
  <c r="N12" i="19"/>
  <c r="N11" i="19"/>
  <c r="N24" i="19"/>
  <c r="N14" i="19"/>
  <c r="N16" i="19"/>
  <c r="N9" i="19"/>
  <c r="K29" i="19" l="1"/>
  <c r="L29" i="19"/>
  <c r="N29" i="19"/>
  <c r="F29" i="12"/>
  <c r="G27" i="8"/>
  <c r="J3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10" i="6"/>
  <c r="F30" i="6"/>
  <c r="G24" i="6" s="1"/>
  <c r="Q24" i="6" l="1"/>
  <c r="R24" i="6" s="1"/>
  <c r="G30" i="6"/>
  <c r="Q30" i="6" s="1"/>
  <c r="R30" i="6" s="1"/>
  <c r="G18" i="6"/>
  <c r="Q18" i="6" s="1"/>
  <c r="R18" i="6" s="1"/>
  <c r="G29" i="6"/>
  <c r="Q29" i="6" s="1"/>
  <c r="R29" i="6" s="1"/>
  <c r="G14" i="6"/>
  <c r="Q14" i="6" s="1"/>
  <c r="R14" i="6" s="1"/>
  <c r="G26" i="6"/>
  <c r="Q26" i="6" s="1"/>
  <c r="R26" i="6" s="1"/>
  <c r="G21" i="6"/>
  <c r="Q21" i="6" s="1"/>
  <c r="R21" i="6" s="1"/>
  <c r="G22" i="6"/>
  <c r="Q22" i="6" s="1"/>
  <c r="R22" i="6" s="1"/>
  <c r="G13" i="6"/>
  <c r="Q13" i="6" s="1"/>
  <c r="R13" i="6" s="1"/>
  <c r="G25" i="6"/>
  <c r="Q25" i="6" s="1"/>
  <c r="R25" i="6" s="1"/>
  <c r="G17" i="6"/>
  <c r="Q17" i="6" s="1"/>
  <c r="R17" i="6" s="1"/>
  <c r="G28" i="6"/>
  <c r="Q28" i="6" s="1"/>
  <c r="R28" i="6" s="1"/>
  <c r="G20" i="6"/>
  <c r="Q20" i="6" s="1"/>
  <c r="R20" i="6" s="1"/>
  <c r="G16" i="6"/>
  <c r="Q16" i="6" s="1"/>
  <c r="R16" i="6" s="1"/>
  <c r="G12" i="6"/>
  <c r="Q12" i="6" s="1"/>
  <c r="R12" i="6" s="1"/>
  <c r="G10" i="6"/>
  <c r="Q10" i="6" s="1"/>
  <c r="R10" i="6" s="1"/>
  <c r="G27" i="6"/>
  <c r="Q27" i="6" s="1"/>
  <c r="R27" i="6" s="1"/>
  <c r="G23" i="6"/>
  <c r="Q23" i="6" s="1"/>
  <c r="R23" i="6" s="1"/>
  <c r="G19" i="6"/>
  <c r="Q19" i="6" s="1"/>
  <c r="R19" i="6" s="1"/>
  <c r="G15" i="6"/>
  <c r="Q15" i="6" s="1"/>
  <c r="R15" i="6" s="1"/>
  <c r="G11" i="6"/>
  <c r="Q11" i="6" s="1"/>
  <c r="R11" i="6" s="1"/>
  <c r="E10" i="6" l="1"/>
  <c r="E11" i="6" l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D30" i="6"/>
  <c r="K24" i="5" l="1"/>
  <c r="I13" i="5"/>
  <c r="K11" i="5"/>
  <c r="I12" i="5" s="1"/>
  <c r="K10" i="6" l="1"/>
  <c r="H10" i="6"/>
  <c r="I17" i="5"/>
  <c r="L12" i="5"/>
  <c r="K30" i="5"/>
  <c r="K25" i="5"/>
  <c r="K11" i="6"/>
  <c r="K15" i="6"/>
  <c r="K19" i="6"/>
  <c r="K23" i="6"/>
  <c r="K27" i="6"/>
  <c r="K12" i="6"/>
  <c r="K16" i="6"/>
  <c r="K20" i="6"/>
  <c r="K24" i="6"/>
  <c r="K28" i="6"/>
  <c r="K13" i="6"/>
  <c r="K21" i="6"/>
  <c r="K29" i="6"/>
  <c r="K14" i="6"/>
  <c r="K18" i="6"/>
  <c r="K22" i="6"/>
  <c r="K26" i="6"/>
  <c r="K17" i="6"/>
  <c r="K25" i="6"/>
  <c r="H24" i="6"/>
  <c r="H11" i="6"/>
  <c r="H26" i="6"/>
  <c r="H13" i="6"/>
  <c r="H22" i="6"/>
  <c r="H17" i="6"/>
  <c r="H27" i="6"/>
  <c r="H15" i="6"/>
  <c r="H14" i="6"/>
  <c r="H29" i="6"/>
  <c r="H21" i="6"/>
  <c r="H12" i="6"/>
  <c r="H19" i="6"/>
  <c r="H23" i="6"/>
  <c r="H18" i="6"/>
  <c r="H25" i="6"/>
  <c r="H16" i="6"/>
  <c r="H20" i="6"/>
  <c r="H28" i="6"/>
  <c r="E30" i="6"/>
  <c r="I19" i="5"/>
  <c r="I15" i="5"/>
  <c r="I16" i="5"/>
  <c r="K29" i="5" l="1"/>
  <c r="K26" i="5"/>
  <c r="G55" i="6"/>
  <c r="I55" i="6" s="1"/>
  <c r="G48" i="6"/>
  <c r="H48" i="6" s="1"/>
  <c r="G41" i="6"/>
  <c r="H41" i="6" s="1"/>
  <c r="G53" i="6"/>
  <c r="H53" i="6" s="1"/>
  <c r="G51" i="6"/>
  <c r="I51" i="6" s="1"/>
  <c r="G54" i="6"/>
  <c r="H54" i="6" s="1"/>
  <c r="G52" i="6"/>
  <c r="I52" i="6" s="1"/>
  <c r="G58" i="6"/>
  <c r="I58" i="6" s="1"/>
  <c r="G57" i="6"/>
  <c r="I57" i="6" s="1"/>
  <c r="G56" i="6"/>
  <c r="I56" i="6" s="1"/>
  <c r="G45" i="6"/>
  <c r="I45" i="6" s="1"/>
  <c r="G59" i="6"/>
  <c r="H59" i="6" s="1"/>
  <c r="G43" i="6"/>
  <c r="H43" i="6" s="1"/>
  <c r="G46" i="6"/>
  <c r="H46" i="6" s="1"/>
  <c r="G47" i="6"/>
  <c r="I47" i="6" s="1"/>
  <c r="G49" i="6"/>
  <c r="I49" i="6" s="1"/>
  <c r="G50" i="6"/>
  <c r="H50" i="6" s="1"/>
  <c r="G60" i="6"/>
  <c r="I60" i="6" s="1"/>
  <c r="G44" i="6"/>
  <c r="H44" i="6" s="1"/>
  <c r="G42" i="6"/>
  <c r="H42" i="6" s="1"/>
  <c r="K30" i="6"/>
  <c r="H30" i="6"/>
  <c r="I18" i="5"/>
  <c r="K18" i="5" s="1"/>
  <c r="L10" i="21" s="1"/>
  <c r="K28" i="5" l="1"/>
  <c r="K27" i="5"/>
  <c r="H55" i="6"/>
  <c r="I41" i="6"/>
  <c r="I48" i="6"/>
  <c r="H22" i="21"/>
  <c r="L22" i="21"/>
  <c r="H21" i="21"/>
  <c r="H25" i="21"/>
  <c r="H29" i="21"/>
  <c r="H23" i="21"/>
  <c r="H26" i="21"/>
  <c r="H27" i="21"/>
  <c r="H16" i="21"/>
  <c r="L27" i="21"/>
  <c r="L15" i="21"/>
  <c r="L17" i="21"/>
  <c r="H17" i="21"/>
  <c r="L14" i="21"/>
  <c r="L11" i="21"/>
  <c r="L13" i="21"/>
  <c r="H18" i="21"/>
  <c r="H19" i="21"/>
  <c r="H28" i="21"/>
  <c r="H11" i="21"/>
  <c r="L16" i="21"/>
  <c r="L19" i="21"/>
  <c r="L20" i="21"/>
  <c r="L29" i="21"/>
  <c r="L25" i="21"/>
  <c r="H13" i="21"/>
  <c r="H12" i="21"/>
  <c r="H15" i="21"/>
  <c r="L21" i="21"/>
  <c r="L24" i="21"/>
  <c r="L26" i="21"/>
  <c r="M26" i="21" s="1"/>
  <c r="L28" i="21"/>
  <c r="L12" i="21"/>
  <c r="L18" i="21"/>
  <c r="H24" i="21"/>
  <c r="H14" i="21"/>
  <c r="H20" i="21"/>
  <c r="L23" i="21"/>
  <c r="M23" i="21" s="1"/>
  <c r="H10" i="21"/>
  <c r="M13" i="25"/>
  <c r="I16" i="25"/>
  <c r="I24" i="25"/>
  <c r="I22" i="25"/>
  <c r="M16" i="25"/>
  <c r="M24" i="25"/>
  <c r="I18" i="25"/>
  <c r="M23" i="25"/>
  <c r="M14" i="25"/>
  <c r="M11" i="25"/>
  <c r="M19" i="25"/>
  <c r="M27" i="25"/>
  <c r="M18" i="25"/>
  <c r="I17" i="25"/>
  <c r="I25" i="25"/>
  <c r="I11" i="25"/>
  <c r="I19" i="25"/>
  <c r="I27" i="25"/>
  <c r="I26" i="25"/>
  <c r="M10" i="25"/>
  <c r="M25" i="25"/>
  <c r="M12" i="25"/>
  <c r="M20" i="25"/>
  <c r="M28" i="25"/>
  <c r="I12" i="25"/>
  <c r="I20" i="25"/>
  <c r="I28" i="25"/>
  <c r="M15" i="25"/>
  <c r="I15" i="25"/>
  <c r="I23" i="25"/>
  <c r="I14" i="25"/>
  <c r="I13" i="25"/>
  <c r="I21" i="25"/>
  <c r="I29" i="25"/>
  <c r="M22" i="25"/>
  <c r="M21" i="25"/>
  <c r="M29" i="25"/>
  <c r="M26" i="25"/>
  <c r="M17" i="25"/>
  <c r="I10" i="25"/>
  <c r="S19" i="25"/>
  <c r="S27" i="25"/>
  <c r="S14" i="25"/>
  <c r="S21" i="25"/>
  <c r="S12" i="25"/>
  <c r="S18" i="25"/>
  <c r="S15" i="25"/>
  <c r="S25" i="25"/>
  <c r="S28" i="25"/>
  <c r="S10" i="25"/>
  <c r="S26" i="25"/>
  <c r="S11" i="25"/>
  <c r="S13" i="25"/>
  <c r="S16" i="25"/>
  <c r="S20" i="25"/>
  <c r="S29" i="25"/>
  <c r="S17" i="25"/>
  <c r="S22" i="25"/>
  <c r="S24" i="25"/>
  <c r="S23" i="25"/>
  <c r="H60" i="6"/>
  <c r="H57" i="6"/>
  <c r="H51" i="6"/>
  <c r="I53" i="6"/>
  <c r="H58" i="6"/>
  <c r="H47" i="6"/>
  <c r="I54" i="6"/>
  <c r="H52" i="6"/>
  <c r="H45" i="6"/>
  <c r="I46" i="6"/>
  <c r="H56" i="6"/>
  <c r="I50" i="6"/>
  <c r="H49" i="6"/>
  <c r="R26" i="21"/>
  <c r="R23" i="21"/>
  <c r="R17" i="21"/>
  <c r="R20" i="21"/>
  <c r="R29" i="21"/>
  <c r="R11" i="21"/>
  <c r="R27" i="21"/>
  <c r="R21" i="21"/>
  <c r="R28" i="21"/>
  <c r="R13" i="21"/>
  <c r="R14" i="21"/>
  <c r="R15" i="21"/>
  <c r="R22" i="21"/>
  <c r="R18" i="21"/>
  <c r="R12" i="21"/>
  <c r="R16" i="21"/>
  <c r="R24" i="21"/>
  <c r="R19" i="21"/>
  <c r="R25" i="21"/>
  <c r="R10" i="21"/>
  <c r="I43" i="6"/>
  <c r="I44" i="6"/>
  <c r="I59" i="6"/>
  <c r="G61" i="6"/>
  <c r="H61" i="6" s="1"/>
  <c r="I42" i="6"/>
  <c r="N14" i="6"/>
  <c r="O14" i="6" s="1"/>
  <c r="P14" i="6" s="1"/>
  <c r="N17" i="6"/>
  <c r="O17" i="6" s="1"/>
  <c r="P17" i="6" s="1"/>
  <c r="N12" i="6"/>
  <c r="O12" i="6" s="1"/>
  <c r="P12" i="6" s="1"/>
  <c r="N26" i="6"/>
  <c r="O26" i="6" s="1"/>
  <c r="P26" i="6" s="1"/>
  <c r="N29" i="6"/>
  <c r="O29" i="6" s="1"/>
  <c r="P29" i="6" s="1"/>
  <c r="N18" i="6"/>
  <c r="O18" i="6" s="1"/>
  <c r="P18" i="6" s="1"/>
  <c r="N21" i="6"/>
  <c r="O21" i="6" s="1"/>
  <c r="P21" i="6" s="1"/>
  <c r="N19" i="6"/>
  <c r="O19" i="6" s="1"/>
  <c r="P19" i="6" s="1"/>
  <c r="N11" i="6"/>
  <c r="O11" i="6" s="1"/>
  <c r="P11" i="6" s="1"/>
  <c r="N22" i="6"/>
  <c r="O22" i="6" s="1"/>
  <c r="P22" i="6" s="1"/>
  <c r="N27" i="6"/>
  <c r="O27" i="6" s="1"/>
  <c r="P27" i="6" s="1"/>
  <c r="N13" i="6"/>
  <c r="O13" i="6" s="1"/>
  <c r="P13" i="6" s="1"/>
  <c r="E23" i="12"/>
  <c r="M14" i="21" l="1"/>
  <c r="M27" i="21"/>
  <c r="N16" i="25"/>
  <c r="M21" i="21"/>
  <c r="M25" i="21"/>
  <c r="N11" i="25"/>
  <c r="M12" i="21"/>
  <c r="N21" i="25"/>
  <c r="M28" i="21"/>
  <c r="M18" i="21"/>
  <c r="M22" i="21"/>
  <c r="N18" i="25"/>
  <c r="N13" i="25"/>
  <c r="N20" i="25"/>
  <c r="S30" i="25"/>
  <c r="M19" i="21"/>
  <c r="N29" i="25"/>
  <c r="N12" i="25"/>
  <c r="M16" i="21"/>
  <c r="I30" i="25"/>
  <c r="N10" i="25"/>
  <c r="N15" i="25"/>
  <c r="M30" i="25"/>
  <c r="N27" i="25"/>
  <c r="N23" i="25"/>
  <c r="M10" i="21"/>
  <c r="H30" i="21"/>
  <c r="M29" i="21"/>
  <c r="M13" i="21"/>
  <c r="M17" i="21"/>
  <c r="N17" i="25"/>
  <c r="N22" i="25"/>
  <c r="N14" i="25"/>
  <c r="N28" i="25"/>
  <c r="N26" i="25"/>
  <c r="N25" i="25"/>
  <c r="N19" i="25"/>
  <c r="N24" i="25"/>
  <c r="L30" i="21"/>
  <c r="M24" i="21"/>
  <c r="M20" i="21"/>
  <c r="M11" i="21"/>
  <c r="M15" i="21"/>
  <c r="I61" i="6"/>
  <c r="F25" i="8"/>
  <c r="H25" i="8" s="1"/>
  <c r="F23" i="8"/>
  <c r="H23" i="8" s="1"/>
  <c r="F21" i="8"/>
  <c r="H21" i="8" s="1"/>
  <c r="F19" i="8"/>
  <c r="H19" i="8" s="1"/>
  <c r="F17" i="8"/>
  <c r="H17" i="8" s="1"/>
  <c r="F15" i="8"/>
  <c r="H15" i="8" s="1"/>
  <c r="F13" i="8"/>
  <c r="H13" i="8" s="1"/>
  <c r="F11" i="8"/>
  <c r="H11" i="8" s="1"/>
  <c r="F8" i="8"/>
  <c r="H8" i="8" s="1"/>
  <c r="F26" i="8"/>
  <c r="H26" i="8" s="1"/>
  <c r="F24" i="8"/>
  <c r="H24" i="8" s="1"/>
  <c r="F22" i="8"/>
  <c r="H22" i="8" s="1"/>
  <c r="F20" i="8"/>
  <c r="H20" i="8" s="1"/>
  <c r="F18" i="8"/>
  <c r="H18" i="8" s="1"/>
  <c r="F16" i="8"/>
  <c r="H16" i="8" s="1"/>
  <c r="F14" i="8"/>
  <c r="H14" i="8" s="1"/>
  <c r="F12" i="8"/>
  <c r="H12" i="8" s="1"/>
  <c r="F10" i="8"/>
  <c r="H10" i="8" s="1"/>
  <c r="F9" i="8"/>
  <c r="H9" i="8" s="1"/>
  <c r="E27" i="12"/>
  <c r="E20" i="12"/>
  <c r="E13" i="12"/>
  <c r="E15" i="12"/>
  <c r="E12" i="12"/>
  <c r="E24" i="12"/>
  <c r="E17" i="12"/>
  <c r="E11" i="12"/>
  <c r="E14" i="12"/>
  <c r="E28" i="12"/>
  <c r="E21" i="12"/>
  <c r="E16" i="12"/>
  <c r="G23" i="12"/>
  <c r="E18" i="12"/>
  <c r="E26" i="12"/>
  <c r="E22" i="12"/>
  <c r="E25" i="12"/>
  <c r="E19" i="12"/>
  <c r="E10" i="12"/>
  <c r="M30" i="21" l="1"/>
  <c r="N30" i="25"/>
  <c r="U30" i="25"/>
  <c r="F27" i="8"/>
  <c r="H7" i="8"/>
  <c r="C29" i="12"/>
  <c r="E9" i="12"/>
  <c r="G9" i="12" s="1"/>
  <c r="G21" i="12"/>
  <c r="G24" i="12"/>
  <c r="G26" i="12"/>
  <c r="G28" i="12"/>
  <c r="G11" i="12"/>
  <c r="G12" i="12"/>
  <c r="G27" i="12"/>
  <c r="G22" i="12"/>
  <c r="G20" i="12"/>
  <c r="G19" i="12"/>
  <c r="G16" i="12"/>
  <c r="G17" i="12"/>
  <c r="G10" i="12"/>
  <c r="G15" i="12"/>
  <c r="G25" i="12"/>
  <c r="G18" i="12"/>
  <c r="G14" i="12"/>
  <c r="G13" i="12"/>
  <c r="E29" i="12" l="1"/>
  <c r="G29" i="12" l="1"/>
  <c r="H27" i="8"/>
  <c r="I7" i="8" s="1"/>
  <c r="I10" i="12" l="1"/>
  <c r="I14" i="12"/>
  <c r="I18" i="12"/>
  <c r="I22" i="12"/>
  <c r="I26" i="12"/>
  <c r="I20" i="12"/>
  <c r="I11" i="12"/>
  <c r="I15" i="12"/>
  <c r="I19" i="12"/>
  <c r="I23" i="12"/>
  <c r="I27" i="12"/>
  <c r="I12" i="12"/>
  <c r="I16" i="12"/>
  <c r="I24" i="12"/>
  <c r="I13" i="12"/>
  <c r="I17" i="12"/>
  <c r="I21" i="12"/>
  <c r="I25" i="12"/>
  <c r="I9" i="12"/>
  <c r="I28" i="12"/>
  <c r="H9" i="12"/>
  <c r="H45" i="12"/>
  <c r="H51" i="12"/>
  <c r="H50" i="12"/>
  <c r="H47" i="12"/>
  <c r="H53" i="12"/>
  <c r="H46" i="12"/>
  <c r="H55" i="12"/>
  <c r="H43" i="12"/>
  <c r="H54" i="12"/>
  <c r="H44" i="12"/>
  <c r="H58" i="12"/>
  <c r="H48" i="12"/>
  <c r="H49" i="12"/>
  <c r="H52" i="12"/>
  <c r="H40" i="12"/>
  <c r="H41" i="12"/>
  <c r="H56" i="12"/>
  <c r="H57" i="12"/>
  <c r="H42" i="12"/>
  <c r="H39" i="12"/>
  <c r="J7" i="8"/>
  <c r="I27" i="8"/>
  <c r="I24" i="8"/>
  <c r="I20" i="8"/>
  <c r="I16" i="8"/>
  <c r="I12" i="8"/>
  <c r="I8" i="8"/>
  <c r="I23" i="8"/>
  <c r="I19" i="8"/>
  <c r="I15" i="8"/>
  <c r="I11" i="8"/>
  <c r="I26" i="8"/>
  <c r="I22" i="8"/>
  <c r="I18" i="8"/>
  <c r="I14" i="8"/>
  <c r="I10" i="8"/>
  <c r="I25" i="8"/>
  <c r="I21" i="8"/>
  <c r="I17" i="8"/>
  <c r="I13" i="8"/>
  <c r="I9" i="8"/>
  <c r="H23" i="12"/>
  <c r="H19" i="12"/>
  <c r="H25" i="12"/>
  <c r="H21" i="12"/>
  <c r="H14" i="12"/>
  <c r="H11" i="12"/>
  <c r="H24" i="12"/>
  <c r="H16" i="12"/>
  <c r="H22" i="12"/>
  <c r="H17" i="12"/>
  <c r="H15" i="12"/>
  <c r="H10" i="12"/>
  <c r="H28" i="12"/>
  <c r="H13" i="12"/>
  <c r="H18" i="12"/>
  <c r="H12" i="12"/>
  <c r="H27" i="12"/>
  <c r="H20" i="12"/>
  <c r="H26" i="12"/>
  <c r="I29" i="12" l="1"/>
  <c r="H59" i="12"/>
  <c r="J9" i="8"/>
  <c r="K9" i="8" s="1"/>
  <c r="J17" i="8"/>
  <c r="K17" i="8" s="1"/>
  <c r="J25" i="8"/>
  <c r="K25" i="8" s="1"/>
  <c r="J14" i="8"/>
  <c r="K14" i="8" s="1"/>
  <c r="J22" i="8"/>
  <c r="K22" i="8" s="1"/>
  <c r="J11" i="8"/>
  <c r="K11" i="8" s="1"/>
  <c r="J19" i="8"/>
  <c r="K19" i="8" s="1"/>
  <c r="J8" i="8"/>
  <c r="K8" i="8" s="1"/>
  <c r="J16" i="8"/>
  <c r="K16" i="8" s="1"/>
  <c r="J24" i="8"/>
  <c r="K24" i="8" s="1"/>
  <c r="J13" i="8"/>
  <c r="K13" i="8" s="1"/>
  <c r="J21" i="8"/>
  <c r="K21" i="8" s="1"/>
  <c r="J10" i="8"/>
  <c r="K10" i="8" s="1"/>
  <c r="J18" i="8"/>
  <c r="K18" i="8" s="1"/>
  <c r="J26" i="8"/>
  <c r="K26" i="8" s="1"/>
  <c r="J15" i="8"/>
  <c r="K15" i="8" s="1"/>
  <c r="J23" i="8"/>
  <c r="K23" i="8" s="1"/>
  <c r="J12" i="8"/>
  <c r="K12" i="8" s="1"/>
  <c r="J20" i="8"/>
  <c r="K20" i="8" s="1"/>
  <c r="K7" i="8"/>
  <c r="H29" i="12"/>
  <c r="N30" i="21" l="1"/>
  <c r="K27" i="8"/>
  <c r="S17" i="21" l="1"/>
  <c r="S22" i="21"/>
  <c r="R30" i="21"/>
  <c r="S10" i="21"/>
  <c r="S19" i="21" l="1"/>
  <c r="S28" i="21"/>
  <c r="S16" i="21"/>
  <c r="S29" i="21"/>
  <c r="S14" i="21"/>
  <c r="S13" i="21"/>
  <c r="S23" i="21"/>
  <c r="S20" i="21"/>
  <c r="S18" i="21"/>
  <c r="S15" i="21"/>
  <c r="S21" i="21"/>
  <c r="S24" i="21"/>
  <c r="S12" i="21"/>
  <c r="S26" i="21"/>
  <c r="S11" i="21"/>
  <c r="S25" i="21"/>
  <c r="S27" i="21"/>
  <c r="S30" i="21" l="1"/>
  <c r="L30" i="6" l="1"/>
  <c r="M28" i="6" l="1"/>
  <c r="N28" i="6" s="1"/>
  <c r="O28" i="6" s="1"/>
  <c r="P28" i="6" s="1"/>
  <c r="M20" i="6"/>
  <c r="M25" i="6"/>
  <c r="M15" i="6"/>
  <c r="M16" i="6"/>
  <c r="M23" i="6"/>
  <c r="N16" i="6" l="1"/>
  <c r="O16" i="6" s="1"/>
  <c r="P16" i="6" s="1"/>
  <c r="N25" i="6"/>
  <c r="O25" i="6" s="1"/>
  <c r="P25" i="6" s="1"/>
  <c r="N24" i="6"/>
  <c r="O24" i="6" s="1"/>
  <c r="P24" i="6" s="1"/>
  <c r="N23" i="6"/>
  <c r="O23" i="6" s="1"/>
  <c r="P23" i="6" s="1"/>
  <c r="N20" i="6"/>
  <c r="O20" i="6" s="1"/>
  <c r="P20" i="6" s="1"/>
  <c r="N15" i="6"/>
  <c r="O15" i="6" s="1"/>
  <c r="P15" i="6" s="1"/>
  <c r="M30" i="6"/>
  <c r="N30" i="6" s="1"/>
  <c r="N10" i="6"/>
  <c r="O10" i="6" l="1"/>
  <c r="O30" i="6" s="1"/>
  <c r="P10" i="6" l="1"/>
  <c r="P30" i="6" s="1"/>
</calcChain>
</file>

<file path=xl/sharedStrings.xml><?xml version="1.0" encoding="utf-8"?>
<sst xmlns="http://schemas.openxmlformats.org/spreadsheetml/2006/main" count="1150" uniqueCount="381">
  <si>
    <t>Municipios</t>
  </si>
  <si>
    <t xml:space="preserve">Población </t>
  </si>
  <si>
    <t>Resultado</t>
  </si>
  <si>
    <t xml:space="preserve">Coeficiente de </t>
  </si>
  <si>
    <t>(1)</t>
  </si>
  <si>
    <t>(2)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</si>
  <si>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</si>
  <si>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</si>
  <si>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</si>
  <si>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</si>
  <si>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</si>
  <si>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</si>
  <si>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</si>
  <si>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</si>
  <si>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</si>
  <si>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</si>
  <si>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</si>
  <si>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</si>
  <si>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</si>
  <si>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</si>
  <si>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</si>
  <si>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Tecuala</t>
  </si>
  <si>
    <t>Tepic</t>
  </si>
  <si>
    <t>Tuxpan</t>
  </si>
  <si>
    <t>Xalisco</t>
  </si>
  <si>
    <t>Totales</t>
  </si>
  <si>
    <t>Población: Censo Nacional de Población y Vivienda 2010 de INEGI</t>
  </si>
  <si>
    <t>Santiago Ixcuintla</t>
  </si>
  <si>
    <t>(4)</t>
  </si>
  <si>
    <t>Cuadro No. 1</t>
  </si>
  <si>
    <t>(3)</t>
  </si>
  <si>
    <t xml:space="preserve">Participacion </t>
  </si>
  <si>
    <t>MUNICIPIO</t>
  </si>
  <si>
    <t>PREDIAL</t>
  </si>
  <si>
    <t>AGUA</t>
  </si>
  <si>
    <t>TOTAL</t>
  </si>
  <si>
    <r>
      <rPr>
        <b/>
        <sz val="11"/>
        <color theme="1"/>
        <rFont val="Arial"/>
        <family val="2"/>
      </rPr>
      <t>Población:</t>
    </r>
    <r>
      <rPr>
        <sz val="11"/>
        <color theme="1"/>
        <rFont val="Arial"/>
        <family val="2"/>
      </rPr>
      <t xml:space="preserve"> Censo Nacional de Población y Vivienda 2010 de INEGI</t>
    </r>
  </si>
  <si>
    <t>Cuadro No. 4</t>
  </si>
  <si>
    <t>TEPIC</t>
  </si>
  <si>
    <t xml:space="preserve">ACAPONETA </t>
  </si>
  <si>
    <t>AMATLAN DE CAÑAS</t>
  </si>
  <si>
    <t>AHUACATLAN</t>
  </si>
  <si>
    <t>COMPOSTELA</t>
  </si>
  <si>
    <t>IXTLAN DEL RIO</t>
  </si>
  <si>
    <t>JALA</t>
  </si>
  <si>
    <t>ROSAMORADA</t>
  </si>
  <si>
    <t>RUIZ</t>
  </si>
  <si>
    <t>SAN BLAS</t>
  </si>
  <si>
    <t>STA. MARIA DEL ORO</t>
  </si>
  <si>
    <t>SANTIAGO IXCUINTLA</t>
  </si>
  <si>
    <t>TECUALA</t>
  </si>
  <si>
    <t>TUXPAN</t>
  </si>
  <si>
    <t>XALISCO</t>
  </si>
  <si>
    <t>BAHÍA DE BANDERAS</t>
  </si>
  <si>
    <t>LA YESCA</t>
  </si>
  <si>
    <t>HUAJICORI</t>
  </si>
  <si>
    <t>DEL NAYAR</t>
  </si>
  <si>
    <t>SAN PEDRO LAG.</t>
  </si>
  <si>
    <t>Recaudación Federal Participable Aplicable para el Calculo de las Participaciones a los Municipios</t>
  </si>
  <si>
    <t>CONCEPTO</t>
  </si>
  <si>
    <t>IMPORTE</t>
  </si>
  <si>
    <t>2014</t>
  </si>
  <si>
    <t>Factor de</t>
  </si>
  <si>
    <t>Distribución</t>
  </si>
  <si>
    <t>Distribuido</t>
  </si>
  <si>
    <t>en</t>
  </si>
  <si>
    <t>Total</t>
  </si>
  <si>
    <t>Crecimiento del Fondo General de Participaciones (1-2)</t>
  </si>
  <si>
    <t xml:space="preserve">Fondo General de Participaciones </t>
  </si>
  <si>
    <t>Fondo de Fomento Municipal</t>
  </si>
  <si>
    <t>Fondo de Fomento Municipal base de Distribución (3 x 100%)</t>
  </si>
  <si>
    <t>Fondo General de Participaciones base de Distribución por crecimiento (3 x 22.5%)</t>
  </si>
  <si>
    <t>Total Fondo General de Participaciones a distribuir en 2015 (3 + 4)</t>
  </si>
  <si>
    <t>Fondo General de Participaciones base 2014 (recibido y distribuido en el 2014)</t>
  </si>
  <si>
    <t>Fondo General de Participaciones Base 2014 con la formula anterior (2 x 22.5%)</t>
  </si>
  <si>
    <t>Suma (5.1 + 5.2 + 5.3) = (3)</t>
  </si>
  <si>
    <t>Fondo de Fomento Municipal base 2014 (recibido y distribuido en el 2014)</t>
  </si>
  <si>
    <r>
      <rPr>
        <b/>
        <sz val="11"/>
        <color theme="1"/>
        <rFont val="Arial"/>
        <family val="2"/>
      </rPr>
      <t>Recaudacion:</t>
    </r>
    <r>
      <rPr>
        <sz val="11"/>
        <color theme="1"/>
        <rFont val="Arial"/>
        <family val="2"/>
      </rPr>
      <t xml:space="preserve"> Indetec</t>
    </r>
  </si>
  <si>
    <t>(3 = 2/1)</t>
  </si>
  <si>
    <t>Variacion</t>
  </si>
  <si>
    <t>(5 = 3*4)</t>
  </si>
  <si>
    <t>(6=(5/∑5)100)</t>
  </si>
  <si>
    <t>Población</t>
  </si>
  <si>
    <t xml:space="preserve">Variación por </t>
  </si>
  <si>
    <t>Relativa</t>
  </si>
  <si>
    <t>Absoluta</t>
  </si>
  <si>
    <t>Distribucion</t>
  </si>
  <si>
    <t>del FGP</t>
  </si>
  <si>
    <t>Coeficiente</t>
  </si>
  <si>
    <t>30%</t>
  </si>
  <si>
    <t>%</t>
  </si>
  <si>
    <t>Recaudacion de Impuestos y Derechos Locales</t>
  </si>
  <si>
    <t>Cálculo del Coeficiente de Participación del Impuesto Sobre Automóviles Nuevos</t>
  </si>
  <si>
    <t>FONDO GENERAL DE PARTICIPACIONES</t>
  </si>
  <si>
    <t>Recaudacion Agua Potable y Predial</t>
  </si>
  <si>
    <t>Coeficiente de Participacion</t>
  </si>
  <si>
    <t xml:space="preserve">de </t>
  </si>
  <si>
    <t>Participacion</t>
  </si>
  <si>
    <t>(5)</t>
  </si>
  <si>
    <t>Distribucion del FGP</t>
  </si>
  <si>
    <t>C 2</t>
  </si>
  <si>
    <t>Porcentaje</t>
  </si>
  <si>
    <t>Coeficiente 3</t>
  </si>
  <si>
    <t>Resarcitorio</t>
  </si>
  <si>
    <t>5=(2+4)</t>
  </si>
  <si>
    <t>(6)</t>
  </si>
  <si>
    <t>FONDO DE FOMENTO MUNICIPAL</t>
  </si>
  <si>
    <t>Población en 2010</t>
  </si>
  <si>
    <t>relativa</t>
  </si>
  <si>
    <t>habitantes</t>
  </si>
  <si>
    <t>Convenio</t>
  </si>
  <si>
    <t>Si</t>
  </si>
  <si>
    <t>No</t>
  </si>
  <si>
    <t>SI</t>
  </si>
  <si>
    <t>(7)</t>
  </si>
  <si>
    <t>(9)</t>
  </si>
  <si>
    <t>(10)</t>
  </si>
  <si>
    <t>absoluta</t>
  </si>
  <si>
    <t>predial y agua</t>
  </si>
  <si>
    <t>predial</t>
  </si>
  <si>
    <t>35%</t>
  </si>
  <si>
    <t>del crecimiento</t>
  </si>
  <si>
    <t>del F.F.M.</t>
  </si>
  <si>
    <t>Calculo de la distribución del crecimiento del Fondo de Fomento Municipal a los Municipios</t>
  </si>
  <si>
    <t xml:space="preserve">Fondo de </t>
  </si>
  <si>
    <t xml:space="preserve">Fomento </t>
  </si>
  <si>
    <t>Municipal</t>
  </si>
  <si>
    <t>(13=2+12)</t>
  </si>
  <si>
    <t xml:space="preserve">FFM </t>
  </si>
  <si>
    <t>distribuido en</t>
  </si>
  <si>
    <t>(5= 70%/2 x 4)</t>
  </si>
  <si>
    <t>(8=70%/2*7)</t>
  </si>
  <si>
    <t>(11=30%*10)</t>
  </si>
  <si>
    <t>(12=5+8+11)</t>
  </si>
  <si>
    <t>Fondo de Fiscalización y Recaudación</t>
  </si>
  <si>
    <t>Fondo de Fiscalización base 2014 (recibido y distribuido en el 2014)</t>
  </si>
  <si>
    <t>Fondo de Compensacion</t>
  </si>
  <si>
    <t>Impuesto Especial s/Produccion y Servicios base (2014 (recibido y distribuido en el 2014)</t>
  </si>
  <si>
    <t>Fondo de Compensacion sobre el ISAN</t>
  </si>
  <si>
    <t>Fondo de Fiscalización sobre el ISAN base 2014 (recibido y distribuido en el 2014)</t>
  </si>
  <si>
    <t>Impuesto especial sobre producción y servicios por Gasolina y Diesel</t>
  </si>
  <si>
    <t>Impuesto sobre Automoviles Nuevos ISAN</t>
  </si>
  <si>
    <t>Impuesto sobre automoviles nuevos base 2014 (recibido y distribuido en el 2014)</t>
  </si>
  <si>
    <t xml:space="preserve">Fondo del Impuesto sobre la Renta </t>
  </si>
  <si>
    <t>Fondo de Impuesto sobre la renta 2014 (recibido y distribuido en el 2014)</t>
  </si>
  <si>
    <t>Crecimiento del Fondo de ISR 2015 (15-16)</t>
  </si>
  <si>
    <t xml:space="preserve">Crecimiento </t>
  </si>
  <si>
    <t xml:space="preserve">del FOFIR </t>
  </si>
  <si>
    <t>entre mpios.</t>
  </si>
  <si>
    <t>total de FOFIR</t>
  </si>
  <si>
    <t>en 2015</t>
  </si>
  <si>
    <t>Factor Inverso</t>
  </si>
  <si>
    <t>del fondo en</t>
  </si>
  <si>
    <t>CUADRO COMPARATIVO CON EL CAMBIO DE FORMULAS</t>
  </si>
  <si>
    <t xml:space="preserve">Total con la </t>
  </si>
  <si>
    <t>formula del</t>
  </si>
  <si>
    <t>2015 (70%)</t>
  </si>
  <si>
    <t>FFM a Mpios</t>
  </si>
  <si>
    <t>2014 (100%)</t>
  </si>
  <si>
    <t xml:space="preserve">Distribuido </t>
  </si>
  <si>
    <t xml:space="preserve">en </t>
  </si>
  <si>
    <t>2014 (70%)</t>
  </si>
  <si>
    <t>(6=3+4)</t>
  </si>
  <si>
    <t>(8)</t>
  </si>
  <si>
    <t xml:space="preserve">Factor de </t>
  </si>
  <si>
    <t>Crecimiento</t>
  </si>
  <si>
    <t>en el impuesto</t>
  </si>
  <si>
    <t>para el 2015</t>
  </si>
  <si>
    <t>Coeficiente 1</t>
  </si>
  <si>
    <t>Coeficiente 2</t>
  </si>
  <si>
    <t>Inverso en $</t>
  </si>
  <si>
    <t>resarcitoria</t>
  </si>
  <si>
    <t xml:space="preserve">Suma de </t>
  </si>
  <si>
    <t>Coeficientes</t>
  </si>
  <si>
    <t>Efectivo</t>
  </si>
  <si>
    <t>efectivo</t>
  </si>
  <si>
    <t>8</t>
  </si>
  <si>
    <t>2=(1*.60)</t>
  </si>
  <si>
    <t>6=(5*.10)</t>
  </si>
  <si>
    <t>4=(3*.30)</t>
  </si>
  <si>
    <t>7=(2+4+6)</t>
  </si>
  <si>
    <t>Impuesto especial sobre producción y servicios (Tabaco y Alcohol)</t>
  </si>
  <si>
    <t>Foco</t>
  </si>
  <si>
    <t>total de IEPS</t>
  </si>
  <si>
    <t xml:space="preserve">Estimado </t>
  </si>
  <si>
    <t>Cuadro 9</t>
  </si>
  <si>
    <t>6=(1/5)</t>
  </si>
  <si>
    <t>8=(7*.10)</t>
  </si>
  <si>
    <t>Cuadro No. 8</t>
  </si>
  <si>
    <t>Población Relativa 60%</t>
  </si>
  <si>
    <t>Esfuerzo Recaudatorio 30%</t>
  </si>
  <si>
    <t>Resarcitorio 10%</t>
  </si>
  <si>
    <t xml:space="preserve">Coeficiente </t>
  </si>
  <si>
    <t xml:space="preserve">De base para hacer el cálculo del inverso </t>
  </si>
  <si>
    <t xml:space="preserve"> 1 del FGP</t>
  </si>
  <si>
    <t xml:space="preserve"> 1 Efectivo</t>
  </si>
  <si>
    <t xml:space="preserve"> 2 del FGP</t>
  </si>
  <si>
    <t xml:space="preserve">2 Efectivo </t>
  </si>
  <si>
    <t>3 del FGP</t>
  </si>
  <si>
    <t>3 Efectivo</t>
  </si>
  <si>
    <t>efectivos (%)</t>
  </si>
  <si>
    <t>con formula e la computadora</t>
  </si>
  <si>
    <t>con fórmula manual 1 entre el número</t>
  </si>
  <si>
    <t>M inversa</t>
  </si>
  <si>
    <t>(6 = 4*5)</t>
  </si>
  <si>
    <t>(7=(6/∑6)100)</t>
  </si>
  <si>
    <t>Componente del 70%</t>
  </si>
  <si>
    <t>Componente del 30%</t>
  </si>
  <si>
    <t>Efectivo de</t>
  </si>
  <si>
    <t>a la población</t>
  </si>
  <si>
    <t>inverso</t>
  </si>
  <si>
    <t>Efectivo Inverso a</t>
  </si>
  <si>
    <t>Factor directo</t>
  </si>
  <si>
    <t>Población (30%)</t>
  </si>
  <si>
    <t>(3 = Inv de 1)</t>
  </si>
  <si>
    <t>(4=4/∑4)100</t>
  </si>
  <si>
    <t>(6= 2+5)</t>
  </si>
  <si>
    <t>(4= 1*.70)</t>
  </si>
  <si>
    <t>a participar</t>
  </si>
  <si>
    <t>Esfuerzo</t>
  </si>
  <si>
    <t xml:space="preserve">Relativa </t>
  </si>
  <si>
    <t>10</t>
  </si>
  <si>
    <t>(9=2+8)</t>
  </si>
  <si>
    <t xml:space="preserve">Cálculo del Coeficiente de Participación Fondo General de Participaciones </t>
  </si>
  <si>
    <t>Segunda parte del fondo 30% (relativa a Recaudación)</t>
  </si>
  <si>
    <t xml:space="preserve">Factor de Distribuciòn </t>
  </si>
  <si>
    <t>Primera parte del Coeficiente 60% (relativa a Poblaciòn)</t>
  </si>
  <si>
    <t>Porcentaje que representa</t>
  </si>
  <si>
    <t>Suma de Asignaciones</t>
  </si>
  <si>
    <t>de Participaciòn</t>
  </si>
  <si>
    <t xml:space="preserve">coeficiente </t>
  </si>
  <si>
    <t>Tercera parte del fondo 10% (relativa a Resarcitoria)</t>
  </si>
  <si>
    <t>2014/2013</t>
  </si>
  <si>
    <t>FONDO DE FISCALIZACION Y RECAUDACION</t>
  </si>
  <si>
    <t>FONDO DE COMPENSACION</t>
  </si>
  <si>
    <t>IMPUESTO ESPECIAL SOBRE PRODUCCION Y SERVICIOS</t>
  </si>
  <si>
    <t>VENTA FINAL DE GASOLINA Y DIESEL</t>
  </si>
  <si>
    <t>COMPONENTE SOLO PARA LOS QUE SUSCRIBIERON CONVENIO PARA EL COBRO DE PREDIAL</t>
  </si>
  <si>
    <t>2014/2015</t>
  </si>
  <si>
    <t>Cálculo del Coeficiente de Participación del Fondo de  Compensación del ISAN</t>
  </si>
  <si>
    <t>para el 2017</t>
  </si>
  <si>
    <t>Cálculo de los porcentajes de participacion del Impuesto sobre Automoviles Nuevos para el 2017</t>
  </si>
  <si>
    <t>para 2017</t>
  </si>
  <si>
    <t>2017</t>
  </si>
  <si>
    <t>Crecimiento en el 2017 (70% general + 30% a municipios que celebren convenio)</t>
  </si>
  <si>
    <t>Mes de:                                       2017</t>
  </si>
  <si>
    <t>5.1 Primera parte 60% del crecimiento 2017</t>
  </si>
  <si>
    <t>5.2 Segunda parte 30% del crecimiento 2017</t>
  </si>
  <si>
    <t>5.3 Tercera parte 10% del crecimiento 2017</t>
  </si>
  <si>
    <t>Fondo General de Participaciones crecimiento 2017 (3-4)</t>
  </si>
  <si>
    <t>Fondo General de Participaciones recibido en la Entidad 2017(LEY DE INGRESOS DEL EDO</t>
  </si>
  <si>
    <t>Fondo de Fomento Municipal recibido en la Entidad 2017 (LEY DE INGRESOS DEL EDO</t>
  </si>
  <si>
    <t>Crecimiento del Fondo de Fomento Municipal 2017 (1-2)</t>
  </si>
  <si>
    <t>10.1 Primera parte 70% del crecimiento 2017</t>
  </si>
  <si>
    <t>10.2 SEGUNDA PARTE DEL CRECIMIENTO 30%</t>
  </si>
  <si>
    <t>Fondo de Fiscalizacion recibido en la Entidad 2017 (LEY DE INGRESOS DEL EDO)</t>
  </si>
  <si>
    <t>Crecimiento del Fondo de Fiscalizacion en 2017 (9-10)</t>
  </si>
  <si>
    <t>Fondo de Compensacion recibido en la Entidad 2017 (LEY DE INGRESOS DEL EDO)</t>
  </si>
  <si>
    <t>Crecimiento del Fondo de Compensación en 2017 (12-13)</t>
  </si>
  <si>
    <t>Fondo de Impuesto sobre la renta recibido en la Entidad 2017 (LEY DE INGRESOS DEL EDO)</t>
  </si>
  <si>
    <t>Impuesto Especial s/Producción y Servicios  recibido en la Entidad 2017 (LEY DE INGRESOS DEL EDO)</t>
  </si>
  <si>
    <t>Crecimiento del Impuesto Especial s/Producción y Servicios en 2017 (18-19)</t>
  </si>
  <si>
    <t>Impuesto Especial s/Producción y Servicios  (G y D)recibido en la Entidad 2017 (LEY DE INGRESOS DEL EDO)</t>
  </si>
  <si>
    <t>Crecimiento del Impuesto Especial s/Producción y Servicios en 2017 (21-22)</t>
  </si>
  <si>
    <t>Impuesto sobre automóviles nuevos ISAN, recibido en la Entidad 2017 (LEY DE INGRESOS DEL EDO)</t>
  </si>
  <si>
    <t>Crecimiento del Impuesto sobre Automóviles Nuevos ISAN en 2017(24-25)</t>
  </si>
  <si>
    <t>Fondo de Compensacion sobre el ISAN, recibido en la Entidad 2017 (LEY DE INGRESOS DEL EDO</t>
  </si>
  <si>
    <t>Crecimiento del Fondo de Compensación del ISAN en 2017(1-2)</t>
  </si>
  <si>
    <t>LEY DE INGRESOS DEL ESTADO DE NAYARIT PUBLICADA EL 22 DE DICIEMBRE DE 2016</t>
  </si>
  <si>
    <t>FONDO</t>
  </si>
  <si>
    <t>FGP</t>
  </si>
  <si>
    <t>FOMUN</t>
  </si>
  <si>
    <t>IEPS</t>
  </si>
  <si>
    <t>NUEVAS POTESTADES(GASOLINA Y DIESEL)</t>
  </si>
  <si>
    <t xml:space="preserve">FONDO DE FISCALIZACION Y RECAUDACION </t>
  </si>
  <si>
    <t>FOFIR</t>
  </si>
  <si>
    <t>FOCO</t>
  </si>
  <si>
    <t>FONDO IMPUESTO SOBRE LA RENTA</t>
  </si>
  <si>
    <t>IMPUESTO SOBRE AUTOMOVILES NUEVOS (INCLUYE FONDO DE COMPENSACION DE ISAN)</t>
  </si>
  <si>
    <t>IMPUESTO SOBRE AUTOMOVILES NUEVOS</t>
  </si>
  <si>
    <t>FONDO DE COMPENSACION DE ISAN</t>
  </si>
  <si>
    <t>ZOFEMAT</t>
  </si>
  <si>
    <t>OTROS INCENTIVOS</t>
  </si>
  <si>
    <t>T O T A L</t>
  </si>
  <si>
    <t>Total Fondo  de Fomento  Municipal</t>
  </si>
  <si>
    <t>IMPUESTO ESPECIAL SOBRE AUTOMOVILES NUEVOS Y FONDO DE COMPENSACION DE ISAN</t>
  </si>
  <si>
    <t>PORCENTAJE</t>
  </si>
  <si>
    <t>MONTO</t>
  </si>
  <si>
    <t>(PESOS)</t>
  </si>
  <si>
    <t>CALENDARIO DE ENTREGA PARA EL EJERCICIO FISCAL 2017</t>
  </si>
  <si>
    <t>MES</t>
  </si>
  <si>
    <t>FECHA LIMITE DE ENTREGA</t>
  </si>
  <si>
    <t>ENERO</t>
  </si>
  <si>
    <t>FEBRERO</t>
  </si>
  <si>
    <t>01</t>
  </si>
  <si>
    <t>08</t>
  </si>
  <si>
    <t>MARZO</t>
  </si>
  <si>
    <t>06</t>
  </si>
  <si>
    <t>07</t>
  </si>
  <si>
    <t>ABRIL</t>
  </si>
  <si>
    <t>03</t>
  </si>
  <si>
    <t>MAYO</t>
  </si>
  <si>
    <t>JUNIO</t>
  </si>
  <si>
    <t>JULIO</t>
  </si>
  <si>
    <t>AGOSTO</t>
  </si>
  <si>
    <t>SEPTIEMBRE</t>
  </si>
  <si>
    <t>OCTUBRE</t>
  </si>
  <si>
    <t>02</t>
  </si>
  <si>
    <t>NOVIEMBRE</t>
  </si>
  <si>
    <t>DICIEMBRE</t>
  </si>
  <si>
    <t>04</t>
  </si>
  <si>
    <t>ENERO 2018</t>
  </si>
  <si>
    <t>IEPS GASOLINA Y DIESEL</t>
  </si>
  <si>
    <t>17</t>
  </si>
  <si>
    <t>19</t>
  </si>
  <si>
    <t>09</t>
  </si>
  <si>
    <t>18</t>
  </si>
  <si>
    <t>FONDO DE COMPENSACIÓN DEL IMPUESTO SOBRE AUTOMOVILES NUEVOS</t>
  </si>
  <si>
    <t>IMPUESTO SOBRE TENENCIA O USO DE VEHÍCULOS E IMPUESTO SOBRE AUTOMOVILES NUEVOS</t>
  </si>
  <si>
    <t>PORCENTAJES Y MONTOS ESTIMADOS DE PARTICIPACIONES FEDERALES CORRESPONDIENTE A LOS MUNICIPIOS PARA EL EJERCICIO FISCAL 2017</t>
  </si>
  <si>
    <t>Las cifras parciales pueden no coincidir con el total debido al redondeo</t>
  </si>
  <si>
    <t>NOTA:</t>
  </si>
  <si>
    <t>Tenencia Federal de ejercicios anteriores a 2010 y el ISAN corresponden a ingresos recaudados en la entidad</t>
  </si>
  <si>
    <t>ANEXO I</t>
  </si>
  <si>
    <t>ANEXO II</t>
  </si>
  <si>
    <t>Municipio</t>
  </si>
  <si>
    <t xml:space="preserve">No. de </t>
  </si>
  <si>
    <t>x población</t>
  </si>
  <si>
    <t xml:space="preserve"> Rec. de Predial y Agua</t>
  </si>
  <si>
    <t>Distribución x</t>
  </si>
  <si>
    <t xml:space="preserve">Recaudación Predial </t>
  </si>
  <si>
    <t>Total Distribución</t>
  </si>
  <si>
    <t>Primera parte del Coeficiente 60% (relativa a Población)</t>
  </si>
  <si>
    <t xml:space="preserve">Factor de Distribución </t>
  </si>
  <si>
    <t>Participación</t>
  </si>
  <si>
    <t>Recaudación Agua Potable y Predial 2015/2014</t>
  </si>
  <si>
    <t>Coeficiente de Participación</t>
  </si>
  <si>
    <t>Distribución del FGP</t>
  </si>
  <si>
    <t>de Participación</t>
  </si>
  <si>
    <t>Recaudación Predial y Agua Último Ejercicio</t>
  </si>
  <si>
    <t xml:space="preserve">Participación </t>
  </si>
  <si>
    <t>2014 ($)</t>
  </si>
  <si>
    <t>Esfuerzo Recaudatorio Último Ejercicio</t>
  </si>
  <si>
    <t>Efectivo por población</t>
  </si>
  <si>
    <t>(5=4*.30)</t>
  </si>
  <si>
    <t>Factor de distribución 2017</t>
  </si>
  <si>
    <t xml:space="preserve">Crecimiento del </t>
  </si>
  <si>
    <t>a Municipios</t>
  </si>
  <si>
    <t>($)</t>
  </si>
  <si>
    <t>a municipios</t>
  </si>
  <si>
    <t>para el 2017 ($)</t>
  </si>
  <si>
    <t>9=(2+4+8)</t>
  </si>
  <si>
    <t>INFORMACION UTILIZADA PARA LA DETERMINACION DE LOS PORCENTAJES DE DISTRIBUCION DE PARTICIPACIONES</t>
  </si>
  <si>
    <t>Recaudación Predial y Agua ($)</t>
  </si>
  <si>
    <t>Población 2010</t>
  </si>
  <si>
    <t>Vivienda 2010 de INEGI</t>
  </si>
  <si>
    <t xml:space="preserve"> Censo Nacional de Población y </t>
  </si>
  <si>
    <t>(8=(7/∑7)100)</t>
  </si>
  <si>
    <t>(11)</t>
  </si>
  <si>
    <t>(12)</t>
  </si>
  <si>
    <t>(13=(2+6+10+12))</t>
  </si>
  <si>
    <t>para 2017 (70%)</t>
  </si>
  <si>
    <r>
      <t>7=(6/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Arial"/>
        <family val="2"/>
      </rPr>
      <t>6)</t>
    </r>
  </si>
  <si>
    <t>Directo</t>
  </si>
  <si>
    <t>población</t>
  </si>
  <si>
    <t>70%</t>
  </si>
  <si>
    <t>$</t>
  </si>
  <si>
    <t>TOTAL DE PARTICIPACIONES</t>
  </si>
  <si>
    <t>TENENCIA FEDERAL*</t>
  </si>
  <si>
    <t>Inverso</t>
  </si>
  <si>
    <t>Crecimiento Efectivo de Participaciones</t>
  </si>
  <si>
    <t>Recaudatorio</t>
  </si>
  <si>
    <t>Cálculo del Coeficiente de Participación del Fondo de Fiscalización y Recaudación 2017</t>
  </si>
  <si>
    <t>Cálculo de los porcentajes de participación del Fondo de Compensación 2017</t>
  </si>
  <si>
    <t>Cálculo del Coeficiente de Participación del Impuesto Sobre Automóviles Nuevos y del Fondo de Compensaciòn de ISAN 2017</t>
  </si>
  <si>
    <t>Porcentaje, variables y cálculo del Coeficiente de Participación del IEPS</t>
  </si>
  <si>
    <t>Porcentaje, variables y cálculo del Coeficiente de Participación por venta de Gasolina y Diesel</t>
  </si>
  <si>
    <t>20</t>
  </si>
  <si>
    <t>16</t>
  </si>
  <si>
    <t>15</t>
  </si>
  <si>
    <t>CALENDARIO DE ENTREGA DE PARTICIPACIONES FEDERALES A LOS MUNICIPIOS CORRESPONDIENTE AL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</si>
</sst>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4" formatCode="_-&quot;$&quot;* #,##0.00_-;\-&quot;$&quot;* #,##0.00_-;_-&quot;$&quot;* &quot;-&quot;??_-;_-@_-"/>
    <numFmt numFmtId="164" formatCode="0.000000"/>
    <numFmt numFmtId="165" formatCode="#,##0.000000"/>
    <numFmt numFmtId="166" formatCode="#,##0.00_ ;\-#,##0.00\ "/>
    <numFmt numFmtId="167" formatCode="&quot;$&quot;#,##0.00"/>
    <numFmt numFmtId="168" formatCode="&quot;$&quot;#,##0"/>
    <numFmt numFmtId="169" formatCode="#,##0.0000000"/>
    <numFmt numFmtId="170" formatCode="_-&quot;$&quot;* #,##0.000000_-;\-&quot;$&quot;* #,##0.000000_-;_-&quot;$&quot;* &quot;-&quot;??_-;_-@_-"/>
    <numFmt numFmtId="171" formatCode="#,##0_ ;\-#,##0\ "/>
    <numFmt numFmtId="172" formatCode="#,##0.000000_ ;\-#,##0.000000\ "/>
    <numFmt numFmtId="173" formatCode="_-&quot;$&quot;* #,##0.000_-;\-&quot;$&quot;* #,##0.000_-;_-&quot;$&quot;* &quot;-&quot;???_-;_-@_-"/>
    <numFmt numFmtId="174" formatCode="_-&quot;$&quot;* #,##0_-;\-&quot;$&quot;* #,##0_-;_-&quot;$&quot;* &quot;-&quot;??_-;_-@_-"/>
    <numFmt numFmtId="17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3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8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2" fillId="0" borderId="5" xfId="0" applyFont="1" applyBorder="1"/>
    <xf numFmtId="164" fontId="2" fillId="0" borderId="6" xfId="0" applyNumberFormat="1" applyFont="1" applyBorder="1"/>
    <xf numFmtId="4" fontId="2" fillId="0" borderId="6" xfId="0" applyNumberFormat="1" applyFont="1" applyBorder="1"/>
    <xf numFmtId="0" fontId="2" fillId="0" borderId="8" xfId="0" applyFont="1" applyBorder="1"/>
    <xf numFmtId="44" fontId="2" fillId="0" borderId="0" xfId="1" applyFont="1" applyBorder="1"/>
    <xf numFmtId="4" fontId="2" fillId="0" borderId="0" xfId="0" applyNumberFormat="1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9" fontId="3" fillId="0" borderId="10" xfId="0" applyNumberFormat="1" applyFont="1" applyBorder="1" applyAlignment="1">
      <alignment horizontal="center"/>
    </xf>
    <xf numFmtId="165" fontId="2" fillId="0" borderId="9" xfId="0" applyNumberFormat="1" applyFont="1" applyBorder="1"/>
    <xf numFmtId="165" fontId="3" fillId="0" borderId="1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6" fontId="2" fillId="0" borderId="0" xfId="1" applyNumberFormat="1" applyFont="1" applyBorder="1"/>
    <xf numFmtId="165" fontId="2" fillId="0" borderId="6" xfId="0" applyNumberFormat="1" applyFont="1" applyBorder="1"/>
    <xf numFmtId="165" fontId="2" fillId="0" borderId="0" xfId="0" applyNumberFormat="1" applyFont="1" applyBorder="1"/>
    <xf numFmtId="166" fontId="2" fillId="0" borderId="6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4" fontId="3" fillId="0" borderId="14" xfId="0" applyNumberFormat="1" applyFont="1" applyBorder="1"/>
    <xf numFmtId="165" fontId="2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 vertical="center" wrapText="1"/>
    </xf>
    <xf numFmtId="4" fontId="2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3" fillId="0" borderId="8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68" fontId="3" fillId="0" borderId="1" xfId="0" applyNumberFormat="1" applyFont="1" applyFill="1" applyBorder="1"/>
    <xf numFmtId="4" fontId="2" fillId="0" borderId="0" xfId="0" applyNumberFormat="1" applyFont="1" applyFill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" fontId="3" fillId="0" borderId="0" xfId="0" applyNumberFormat="1" applyFont="1" applyFill="1"/>
    <xf numFmtId="4" fontId="7" fillId="0" borderId="0" xfId="0" applyNumberFormat="1" applyFont="1" applyFill="1"/>
    <xf numFmtId="167" fontId="2" fillId="0" borderId="0" xfId="0" applyNumberFormat="1" applyFont="1" applyFill="1" applyBorder="1"/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4" fontId="2" fillId="0" borderId="0" xfId="0" applyNumberFormat="1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/>
    <xf numFmtId="49" fontId="3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11" fillId="0" borderId="0" xfId="0" applyNumberFormat="1" applyFont="1" applyBorder="1"/>
    <xf numFmtId="165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/>
    <xf numFmtId="0" fontId="0" fillId="0" borderId="0" xfId="0" applyBorder="1"/>
    <xf numFmtId="44" fontId="3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44" fontId="3" fillId="0" borderId="0" xfId="1" applyFont="1" applyBorder="1"/>
    <xf numFmtId="167" fontId="3" fillId="0" borderId="0" xfId="0" applyNumberFormat="1" applyFont="1" applyBorder="1"/>
    <xf numFmtId="3" fontId="3" fillId="0" borderId="0" xfId="0" applyNumberFormat="1" applyFont="1" applyBorder="1"/>
    <xf numFmtId="44" fontId="2" fillId="0" borderId="3" xfId="1" applyFont="1" applyBorder="1"/>
    <xf numFmtId="44" fontId="2" fillId="0" borderId="1" xfId="1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0" fillId="0" borderId="22" xfId="0" applyBorder="1"/>
    <xf numFmtId="0" fontId="2" fillId="0" borderId="21" xfId="0" applyFont="1" applyBorder="1"/>
    <xf numFmtId="44" fontId="2" fillId="0" borderId="25" xfId="1" applyFont="1" applyBorder="1"/>
    <xf numFmtId="164" fontId="2" fillId="0" borderId="25" xfId="0" applyNumberFormat="1" applyFont="1" applyBorder="1"/>
    <xf numFmtId="3" fontId="4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3" fillId="0" borderId="37" xfId="0" applyFont="1" applyBorder="1" applyAlignment="1">
      <alignment horizontal="center"/>
    </xf>
    <xf numFmtId="0" fontId="2" fillId="0" borderId="23" xfId="0" applyFont="1" applyBorder="1"/>
    <xf numFmtId="0" fontId="2" fillId="0" borderId="39" xfId="0" applyFont="1" applyBorder="1"/>
    <xf numFmtId="4" fontId="3" fillId="0" borderId="43" xfId="0" applyNumberFormat="1" applyFont="1" applyBorder="1"/>
    <xf numFmtId="2" fontId="3" fillId="0" borderId="43" xfId="0" applyNumberFormat="1" applyFont="1" applyBorder="1"/>
    <xf numFmtId="49" fontId="3" fillId="0" borderId="8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44" fontId="0" fillId="0" borderId="0" xfId="0" applyNumberFormat="1"/>
    <xf numFmtId="3" fontId="3" fillId="0" borderId="43" xfId="0" applyNumberFormat="1" applyFont="1" applyBorder="1"/>
    <xf numFmtId="0" fontId="3" fillId="0" borderId="16" xfId="0" applyFont="1" applyBorder="1"/>
    <xf numFmtId="166" fontId="2" fillId="0" borderId="26" xfId="1" applyNumberFormat="1" applyFont="1" applyBorder="1" applyAlignment="1">
      <alignment horizontal="center"/>
    </xf>
    <xf numFmtId="166" fontId="2" fillId="0" borderId="27" xfId="1" applyNumberFormat="1" applyFont="1" applyBorder="1" applyAlignment="1">
      <alignment horizontal="center"/>
    </xf>
    <xf numFmtId="166" fontId="2" fillId="0" borderId="28" xfId="1" applyNumberFormat="1" applyFont="1" applyBorder="1" applyAlignment="1">
      <alignment horizontal="center"/>
    </xf>
    <xf numFmtId="166" fontId="3" fillId="0" borderId="20" xfId="1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27" xfId="0" applyNumberFormat="1" applyFont="1" applyBorder="1"/>
    <xf numFmtId="165" fontId="2" fillId="0" borderId="28" xfId="0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3" fontId="3" fillId="0" borderId="20" xfId="0" applyNumberFormat="1" applyFont="1" applyBorder="1"/>
    <xf numFmtId="164" fontId="2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5" fontId="2" fillId="2" borderId="8" xfId="0" applyNumberFormat="1" applyFont="1" applyFill="1" applyBorder="1"/>
    <xf numFmtId="164" fontId="2" fillId="0" borderId="8" xfId="1" applyNumberFormat="1" applyFont="1" applyBorder="1"/>
    <xf numFmtId="164" fontId="2" fillId="0" borderId="0" xfId="0" applyNumberFormat="1" applyFont="1" applyFill="1" applyBorder="1" applyAlignment="1">
      <alignment horizontal="center"/>
    </xf>
    <xf numFmtId="170" fontId="3" fillId="0" borderId="0" xfId="0" applyNumberFormat="1" applyFont="1" applyFill="1" applyBorder="1" applyAlignment="1">
      <alignment horizontal="center"/>
    </xf>
    <xf numFmtId="170" fontId="0" fillId="0" borderId="0" xfId="0" applyNumberFormat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0" fontId="3" fillId="2" borderId="14" xfId="0" applyFont="1" applyFill="1" applyBorder="1"/>
    <xf numFmtId="4" fontId="3" fillId="2" borderId="1" xfId="0" applyNumberFormat="1" applyFont="1" applyFill="1" applyBorder="1" applyAlignment="1">
      <alignment horizontal="right"/>
    </xf>
    <xf numFmtId="164" fontId="3" fillId="2" borderId="13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5" fontId="3" fillId="2" borderId="11" xfId="0" applyNumberFormat="1" applyFont="1" applyFill="1" applyBorder="1"/>
    <xf numFmtId="165" fontId="3" fillId="2" borderId="0" xfId="0" applyNumberFormat="1" applyFont="1" applyFill="1" applyBorder="1"/>
    <xf numFmtId="164" fontId="3" fillId="0" borderId="0" xfId="1" applyNumberFormat="1" applyFont="1" applyBorder="1"/>
    <xf numFmtId="3" fontId="2" fillId="0" borderId="25" xfId="0" applyNumberFormat="1" applyFont="1" applyBorder="1"/>
    <xf numFmtId="49" fontId="3" fillId="0" borderId="53" xfId="0" applyNumberFormat="1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4" fontId="2" fillId="0" borderId="26" xfId="0" applyNumberFormat="1" applyFont="1" applyBorder="1"/>
    <xf numFmtId="4" fontId="2" fillId="0" borderId="27" xfId="0" applyNumberFormat="1" applyFont="1" applyBorder="1"/>
    <xf numFmtId="3" fontId="2" fillId="0" borderId="26" xfId="0" applyNumberFormat="1" applyFont="1" applyFill="1" applyBorder="1"/>
    <xf numFmtId="3" fontId="6" fillId="0" borderId="27" xfId="0" applyNumberFormat="1" applyFont="1" applyFill="1" applyBorder="1" applyAlignment="1">
      <alignment horizontal="right" vertical="center" wrapText="1"/>
    </xf>
    <xf numFmtId="3" fontId="2" fillId="0" borderId="27" xfId="0" applyNumberFormat="1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165" fontId="2" fillId="0" borderId="25" xfId="0" applyNumberFormat="1" applyFont="1" applyFill="1" applyBorder="1" applyAlignment="1">
      <alignment horizontal="center" vertical="center"/>
    </xf>
    <xf numFmtId="0" fontId="2" fillId="0" borderId="23" xfId="0" applyFont="1" applyFill="1" applyBorder="1"/>
    <xf numFmtId="49" fontId="3" fillId="0" borderId="27" xfId="0" applyNumberFormat="1" applyFont="1" applyFill="1" applyBorder="1" applyAlignment="1">
      <alignment horizontal="center"/>
    </xf>
    <xf numFmtId="0" fontId="3" fillId="0" borderId="16" xfId="0" applyFont="1" applyFill="1" applyBorder="1"/>
    <xf numFmtId="166" fontId="3" fillId="0" borderId="20" xfId="1" applyNumberFormat="1" applyFont="1" applyFill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164" fontId="2" fillId="0" borderId="23" xfId="0" applyNumberFormat="1" applyFont="1" applyBorder="1"/>
    <xf numFmtId="164" fontId="2" fillId="0" borderId="24" xfId="0" applyNumberFormat="1" applyFont="1" applyFill="1" applyBorder="1"/>
    <xf numFmtId="0" fontId="3" fillId="0" borderId="49" xfId="0" applyFont="1" applyFill="1" applyBorder="1" applyAlignment="1">
      <alignment horizontal="center" vertical="center" wrapText="1"/>
    </xf>
    <xf numFmtId="164" fontId="2" fillId="0" borderId="23" xfId="0" applyNumberFormat="1" applyFont="1" applyFill="1" applyBorder="1"/>
    <xf numFmtId="0" fontId="3" fillId="0" borderId="48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49" fontId="3" fillId="0" borderId="54" xfId="0" applyNumberFormat="1" applyFont="1" applyBorder="1" applyAlignment="1">
      <alignment horizontal="center"/>
    </xf>
    <xf numFmtId="171" fontId="2" fillId="0" borderId="25" xfId="1" applyNumberFormat="1" applyFont="1" applyBorder="1"/>
    <xf numFmtId="171" fontId="2" fillId="0" borderId="0" xfId="1" applyNumberFormat="1" applyFont="1" applyBorder="1"/>
    <xf numFmtId="171" fontId="2" fillId="0" borderId="40" xfId="1" applyNumberFormat="1" applyFont="1" applyBorder="1"/>
    <xf numFmtId="171" fontId="3" fillId="0" borderId="26" xfId="0" applyNumberFormat="1" applyFont="1" applyFill="1" applyBorder="1" applyAlignment="1">
      <alignment horizontal="right"/>
    </xf>
    <xf numFmtId="171" fontId="3" fillId="0" borderId="27" xfId="0" applyNumberFormat="1" applyFont="1" applyFill="1" applyBorder="1" applyAlignment="1">
      <alignment horizontal="right"/>
    </xf>
    <xf numFmtId="0" fontId="3" fillId="0" borderId="54" xfId="0" applyFont="1" applyBorder="1" applyAlignment="1">
      <alignment horizontal="center" vertical="center" wrapText="1"/>
    </xf>
    <xf numFmtId="9" fontId="3" fillId="0" borderId="49" xfId="0" applyNumberFormat="1" applyFont="1" applyBorder="1" applyAlignment="1">
      <alignment horizontal="center" vertical="center" wrapText="1"/>
    </xf>
    <xf numFmtId="9" fontId="3" fillId="0" borderId="5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/>
    <xf numFmtId="0" fontId="3" fillId="0" borderId="23" xfId="0" applyFont="1" applyBorder="1" applyAlignment="1">
      <alignment horizontal="center"/>
    </xf>
    <xf numFmtId="171" fontId="2" fillId="0" borderId="27" xfId="1" applyNumberFormat="1" applyFont="1" applyBorder="1"/>
    <xf numFmtId="0" fontId="3" fillId="0" borderId="5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0" borderId="16" xfId="0" applyFont="1" applyBorder="1"/>
    <xf numFmtId="165" fontId="2" fillId="0" borderId="43" xfId="0" applyNumberFormat="1" applyFont="1" applyBorder="1" applyAlignment="1">
      <alignment horizontal="right"/>
    </xf>
    <xf numFmtId="171" fontId="2" fillId="0" borderId="20" xfId="1" applyNumberFormat="1" applyFont="1" applyBorder="1"/>
    <xf numFmtId="3" fontId="2" fillId="0" borderId="0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2" fillId="0" borderId="25" xfId="0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0" borderId="26" xfId="0" applyNumberFormat="1" applyFont="1" applyFill="1" applyBorder="1" applyAlignment="1"/>
    <xf numFmtId="3" fontId="2" fillId="0" borderId="27" xfId="0" applyNumberFormat="1" applyFont="1" applyFill="1" applyBorder="1" applyAlignment="1"/>
    <xf numFmtId="171" fontId="2" fillId="0" borderId="25" xfId="1" applyNumberFormat="1" applyFont="1" applyFill="1" applyBorder="1"/>
    <xf numFmtId="171" fontId="2" fillId="0" borderId="0" xfId="1" applyNumberFormat="1" applyFont="1" applyFill="1" applyBorder="1"/>
    <xf numFmtId="166" fontId="2" fillId="0" borderId="26" xfId="1" applyNumberFormat="1" applyFont="1" applyBorder="1" applyAlignment="1">
      <alignment horizontal="right"/>
    </xf>
    <xf numFmtId="166" fontId="2" fillId="0" borderId="27" xfId="1" applyNumberFormat="1" applyFont="1" applyBorder="1" applyAlignment="1">
      <alignment horizontal="right"/>
    </xf>
    <xf numFmtId="49" fontId="3" fillId="0" borderId="28" xfId="0" applyNumberFormat="1" applyFont="1" applyFill="1" applyBorder="1" applyAlignment="1">
      <alignment horizontal="center"/>
    </xf>
    <xf numFmtId="0" fontId="3" fillId="0" borderId="20" xfId="0" applyFont="1" applyBorder="1"/>
    <xf numFmtId="3" fontId="2" fillId="0" borderId="27" xfId="0" applyNumberFormat="1" applyFont="1" applyBorder="1"/>
    <xf numFmtId="49" fontId="3" fillId="0" borderId="23" xfId="0" applyNumberFormat="1" applyFont="1" applyBorder="1" applyAlignment="1">
      <alignment horizontal="center"/>
    </xf>
    <xf numFmtId="171" fontId="0" fillId="0" borderId="0" xfId="0" applyNumberFormat="1"/>
    <xf numFmtId="3" fontId="2" fillId="0" borderId="26" xfId="0" applyNumberFormat="1" applyFont="1" applyBorder="1"/>
    <xf numFmtId="3" fontId="6" fillId="0" borderId="2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/>
    <xf numFmtId="3" fontId="6" fillId="0" borderId="1" xfId="0" applyNumberFormat="1" applyFont="1" applyBorder="1" applyAlignment="1">
      <alignment horizontal="right" vertical="center" wrapText="1"/>
    </xf>
    <xf numFmtId="4" fontId="2" fillId="0" borderId="28" xfId="0" applyNumberFormat="1" applyFont="1" applyBorder="1"/>
    <xf numFmtId="3" fontId="2" fillId="0" borderId="28" xfId="0" applyNumberFormat="1" applyFont="1" applyBorder="1"/>
    <xf numFmtId="165" fontId="2" fillId="0" borderId="1" xfId="0" applyNumberFormat="1" applyFont="1" applyBorder="1"/>
    <xf numFmtId="171" fontId="2" fillId="0" borderId="1" xfId="0" applyNumberFormat="1" applyFont="1" applyBorder="1"/>
    <xf numFmtId="164" fontId="2" fillId="0" borderId="2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171" fontId="2" fillId="4" borderId="1" xfId="1" applyNumberFormat="1" applyFont="1" applyFill="1" applyBorder="1"/>
    <xf numFmtId="171" fontId="2" fillId="4" borderId="1" xfId="0" applyNumberFormat="1" applyFont="1" applyFill="1" applyBorder="1" applyAlignment="1">
      <alignment horizontal="right"/>
    </xf>
    <xf numFmtId="164" fontId="0" fillId="0" borderId="0" xfId="0" applyNumberFormat="1"/>
    <xf numFmtId="171" fontId="3" fillId="0" borderId="20" xfId="0" applyNumberFormat="1" applyFont="1" applyFill="1" applyBorder="1" applyAlignment="1">
      <alignment horizontal="right"/>
    </xf>
    <xf numFmtId="3" fontId="2" fillId="0" borderId="25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/>
    </xf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8" xfId="0" applyNumberFormat="1" applyFont="1" applyFill="1" applyBorder="1"/>
    <xf numFmtId="4" fontId="3" fillId="0" borderId="1" xfId="0" applyNumberFormat="1" applyFont="1" applyFill="1" applyBorder="1"/>
    <xf numFmtId="165" fontId="2" fillId="0" borderId="24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5" fontId="2" fillId="0" borderId="4" xfId="0" applyNumberFormat="1" applyFont="1" applyBorder="1"/>
    <xf numFmtId="172" fontId="2" fillId="0" borderId="1" xfId="0" applyNumberFormat="1" applyFont="1" applyBorder="1"/>
    <xf numFmtId="165" fontId="2" fillId="0" borderId="1" xfId="0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67" fontId="3" fillId="0" borderId="11" xfId="0" applyNumberFormat="1" applyFont="1" applyFill="1" applyBorder="1"/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6" xfId="0" applyFont="1" applyFill="1" applyBorder="1"/>
    <xf numFmtId="0" fontId="3" fillId="0" borderId="14" xfId="0" applyFont="1" applyBorder="1"/>
    <xf numFmtId="165" fontId="3" fillId="0" borderId="11" xfId="0" applyNumberFormat="1" applyFont="1" applyBorder="1"/>
    <xf numFmtId="44" fontId="3" fillId="0" borderId="16" xfId="1" applyFont="1" applyBorder="1"/>
    <xf numFmtId="44" fontId="3" fillId="0" borderId="19" xfId="1" applyFont="1" applyBorder="1"/>
    <xf numFmtId="49" fontId="3" fillId="0" borderId="57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6" fillId="0" borderId="0" xfId="0" applyFont="1"/>
    <xf numFmtId="171" fontId="2" fillId="0" borderId="4" xfId="0" applyNumberFormat="1" applyFont="1" applyBorder="1"/>
    <xf numFmtId="0" fontId="2" fillId="0" borderId="0" xfId="0" applyFont="1" applyFill="1" applyBorder="1" applyAlignment="1">
      <alignment horizontal="right"/>
    </xf>
    <xf numFmtId="4" fontId="2" fillId="5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32" xfId="0" applyFont="1" applyBorder="1" applyAlignment="1">
      <alignment horizontal="center"/>
    </xf>
    <xf numFmtId="173" fontId="0" fillId="0" borderId="0" xfId="0" applyNumberFormat="1"/>
    <xf numFmtId="3" fontId="0" fillId="0" borderId="0" xfId="0" applyNumberFormat="1"/>
    <xf numFmtId="0" fontId="0" fillId="0" borderId="25" xfId="0" applyBorder="1"/>
    <xf numFmtId="4" fontId="3" fillId="0" borderId="0" xfId="0" applyNumberFormat="1" applyFont="1" applyFill="1" applyBorder="1" applyAlignment="1">
      <alignment horizontal="right"/>
    </xf>
    <xf numFmtId="0" fontId="0" fillId="0" borderId="26" xfId="0" applyFill="1" applyBorder="1"/>
    <xf numFmtId="4" fontId="3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3" fillId="0" borderId="27" xfId="0" applyNumberFormat="1" applyFont="1" applyFill="1" applyBorder="1" applyAlignment="1">
      <alignment horizontal="center"/>
    </xf>
    <xf numFmtId="49" fontId="3" fillId="0" borderId="53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0" fillId="0" borderId="40" xfId="0" applyFill="1" applyBorder="1" applyAlignment="1">
      <alignment horizontal="center" vertical="center" wrapText="1"/>
    </xf>
    <xf numFmtId="3" fontId="2" fillId="0" borderId="4" xfId="0" applyNumberFormat="1" applyFont="1" applyFill="1" applyBorder="1"/>
    <xf numFmtId="171" fontId="2" fillId="0" borderId="1" xfId="1" applyNumberFormat="1" applyFont="1" applyFill="1" applyBorder="1"/>
    <xf numFmtId="164" fontId="2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right" vertical="center" wrapText="1"/>
    </xf>
    <xf numFmtId="171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171" fontId="2" fillId="0" borderId="1" xfId="0" applyNumberFormat="1" applyFont="1" applyFill="1" applyBorder="1"/>
    <xf numFmtId="3" fontId="2" fillId="0" borderId="3" xfId="0" applyNumberFormat="1" applyFont="1" applyFill="1" applyBorder="1"/>
    <xf numFmtId="4" fontId="3" fillId="6" borderId="14" xfId="0" applyNumberFormat="1" applyFont="1" applyFill="1" applyBorder="1"/>
    <xf numFmtId="167" fontId="0" fillId="0" borderId="0" xfId="0" applyNumberFormat="1" applyFill="1"/>
    <xf numFmtId="165" fontId="2" fillId="0" borderId="42" xfId="0" applyNumberFormat="1" applyFont="1" applyFill="1" applyBorder="1" applyAlignment="1">
      <alignment horizontal="right"/>
    </xf>
    <xf numFmtId="165" fontId="2" fillId="0" borderId="23" xfId="0" applyNumberFormat="1" applyFont="1" applyFill="1" applyBorder="1"/>
    <xf numFmtId="0" fontId="2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7" xfId="0" applyFill="1" applyBorder="1"/>
    <xf numFmtId="0" fontId="2" fillId="0" borderId="27" xfId="0" applyFont="1" applyFill="1" applyBorder="1" applyAlignment="1">
      <alignment horizontal="left"/>
    </xf>
    <xf numFmtId="4" fontId="0" fillId="0" borderId="27" xfId="0" applyNumberFormat="1" applyFill="1" applyBorder="1"/>
    <xf numFmtId="0" fontId="0" fillId="0" borderId="28" xfId="0" applyFill="1" applyBorder="1"/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10" fontId="7" fillId="0" borderId="28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24" xfId="0" applyFill="1" applyBorder="1"/>
    <xf numFmtId="4" fontId="0" fillId="0" borderId="24" xfId="0" applyNumberFormat="1" applyFill="1" applyBorder="1"/>
    <xf numFmtId="4" fontId="2" fillId="0" borderId="1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3" fillId="0" borderId="60" xfId="0" applyNumberFormat="1" applyFont="1" applyFill="1" applyBorder="1" applyAlignment="1">
      <alignment horizontal="right"/>
    </xf>
    <xf numFmtId="0" fontId="3" fillId="0" borderId="13" xfId="0" applyFont="1" applyBorder="1"/>
    <xf numFmtId="166" fontId="2" fillId="0" borderId="5" xfId="1" applyNumberFormat="1" applyFont="1" applyBorder="1" applyAlignment="1">
      <alignment horizontal="center"/>
    </xf>
    <xf numFmtId="3" fontId="2" fillId="0" borderId="7" xfId="0" applyNumberFormat="1" applyFont="1" applyFill="1" applyBorder="1"/>
    <xf numFmtId="166" fontId="2" fillId="0" borderId="8" xfId="1" applyNumberFormat="1" applyFont="1" applyBorder="1" applyAlignment="1">
      <alignment horizontal="center"/>
    </xf>
    <xf numFmtId="3" fontId="2" fillId="0" borderId="9" xfId="0" applyNumberFormat="1" applyFont="1" applyFill="1" applyBorder="1"/>
    <xf numFmtId="3" fontId="3" fillId="0" borderId="1" xfId="0" applyNumberFormat="1" applyFont="1" applyFill="1" applyBorder="1"/>
    <xf numFmtId="0" fontId="3" fillId="0" borderId="5" xfId="0" applyFont="1" applyFill="1" applyBorder="1" applyAlignment="1">
      <alignment horizontal="center" wrapText="1"/>
    </xf>
    <xf numFmtId="168" fontId="2" fillId="0" borderId="5" xfId="0" applyNumberFormat="1" applyFont="1" applyFill="1" applyBorder="1"/>
    <xf numFmtId="168" fontId="2" fillId="0" borderId="8" xfId="0" applyNumberFormat="1" applyFont="1" applyFill="1" applyBorder="1"/>
    <xf numFmtId="3" fontId="2" fillId="0" borderId="5" xfId="0" applyNumberFormat="1" applyFont="1" applyBorder="1"/>
    <xf numFmtId="3" fontId="6" fillId="0" borderId="8" xfId="0" applyNumberFormat="1" applyFont="1" applyBorder="1" applyAlignment="1">
      <alignment horizontal="right" vertical="center" wrapText="1"/>
    </xf>
    <xf numFmtId="3" fontId="2" fillId="0" borderId="8" xfId="0" applyNumberFormat="1" applyFont="1" applyBorder="1"/>
    <xf numFmtId="166" fontId="2" fillId="0" borderId="21" xfId="1" applyNumberFormat="1" applyFont="1" applyFill="1" applyBorder="1" applyAlignment="1">
      <alignment horizontal="center"/>
    </xf>
    <xf numFmtId="166" fontId="2" fillId="0" borderId="23" xfId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20" xfId="0" applyNumberFormat="1" applyFont="1" applyBorder="1" applyAlignment="1">
      <alignment horizontal="center"/>
    </xf>
    <xf numFmtId="0" fontId="0" fillId="0" borderId="16" xfId="0" applyBorder="1"/>
    <xf numFmtId="0" fontId="7" fillId="0" borderId="19" xfId="0" applyFont="1" applyBorder="1" applyAlignment="1">
      <alignment horizontal="center"/>
    </xf>
    <xf numFmtId="4" fontId="0" fillId="0" borderId="27" xfId="0" applyNumberFormat="1" applyBorder="1"/>
    <xf numFmtId="4" fontId="0" fillId="0" borderId="20" xfId="0" applyNumberFormat="1" applyBorder="1"/>
    <xf numFmtId="0" fontId="0" fillId="0" borderId="21" xfId="0" applyBorder="1"/>
    <xf numFmtId="0" fontId="7" fillId="0" borderId="22" xfId="0" applyFont="1" applyBorder="1" applyAlignment="1">
      <alignment horizontal="center"/>
    </xf>
    <xf numFmtId="0" fontId="0" fillId="0" borderId="16" xfId="0" applyBorder="1" applyAlignment="1">
      <alignment wrapText="1"/>
    </xf>
    <xf numFmtId="0" fontId="7" fillId="0" borderId="17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4" fontId="7" fillId="0" borderId="28" xfId="0" applyNumberFormat="1" applyFont="1" applyBorder="1"/>
    <xf numFmtId="0" fontId="2" fillId="0" borderId="1" xfId="0" applyFont="1" applyFill="1" applyBorder="1" applyAlignment="1">
      <alignment horizontal="right"/>
    </xf>
    <xf numFmtId="0" fontId="2" fillId="0" borderId="49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right"/>
    </xf>
    <xf numFmtId="0" fontId="0" fillId="0" borderId="41" xfId="0" applyFill="1" applyBorder="1"/>
    <xf numFmtId="0" fontId="2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Fill="1"/>
    <xf numFmtId="3" fontId="9" fillId="0" borderId="1" xfId="0" applyNumberFormat="1" applyFont="1" applyFill="1" applyBorder="1"/>
    <xf numFmtId="169" fontId="3" fillId="0" borderId="1" xfId="0" applyNumberFormat="1" applyFont="1" applyFill="1" applyBorder="1"/>
    <xf numFmtId="0" fontId="3" fillId="0" borderId="1" xfId="0" applyFont="1" applyFill="1" applyBorder="1"/>
    <xf numFmtId="172" fontId="2" fillId="0" borderId="38" xfId="0" applyNumberFormat="1" applyFont="1" applyBorder="1"/>
    <xf numFmtId="3" fontId="2" fillId="0" borderId="14" xfId="0" applyNumberFormat="1" applyFont="1" applyBorder="1"/>
    <xf numFmtId="165" fontId="2" fillId="0" borderId="38" xfId="0" applyNumberFormat="1" applyFont="1" applyBorder="1"/>
    <xf numFmtId="171" fontId="2" fillId="0" borderId="59" xfId="0" applyNumberFormat="1" applyFont="1" applyBorder="1"/>
    <xf numFmtId="171" fontId="2" fillId="4" borderId="4" xfId="1" applyNumberFormat="1" applyFont="1" applyFill="1" applyBorder="1"/>
    <xf numFmtId="164" fontId="2" fillId="0" borderId="4" xfId="0" applyNumberFormat="1" applyFont="1" applyBorder="1"/>
    <xf numFmtId="3" fontId="2" fillId="0" borderId="4" xfId="0" applyNumberFormat="1" applyFont="1" applyBorder="1"/>
    <xf numFmtId="171" fontId="2" fillId="4" borderId="4" xfId="0" applyNumberFormat="1" applyFont="1" applyFill="1" applyBorder="1" applyAlignment="1">
      <alignment horizontal="right"/>
    </xf>
    <xf numFmtId="3" fontId="2" fillId="0" borderId="15" xfId="0" applyNumberFormat="1" applyFont="1" applyBorder="1"/>
    <xf numFmtId="165" fontId="2" fillId="0" borderId="65" xfId="0" applyNumberFormat="1" applyFont="1" applyBorder="1"/>
    <xf numFmtId="171" fontId="2" fillId="0" borderId="64" xfId="0" applyNumberFormat="1" applyFont="1" applyBorder="1"/>
    <xf numFmtId="0" fontId="0" fillId="0" borderId="25" xfId="0" applyBorder="1" applyAlignment="1">
      <alignment horizontal="center"/>
    </xf>
    <xf numFmtId="49" fontId="3" fillId="0" borderId="60" xfId="0" applyNumberFormat="1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9" fontId="3" fillId="0" borderId="60" xfId="0" applyNumberFormat="1" applyFont="1" applyBorder="1" applyAlignment="1">
      <alignment horizontal="center"/>
    </xf>
    <xf numFmtId="9" fontId="3" fillId="4" borderId="60" xfId="0" applyNumberFormat="1" applyFont="1" applyFill="1" applyBorder="1" applyAlignment="1">
      <alignment horizontal="center"/>
    </xf>
    <xf numFmtId="0" fontId="0" fillId="0" borderId="60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166" fontId="2" fillId="0" borderId="10" xfId="1" applyNumberFormat="1" applyFont="1" applyBorder="1" applyAlignment="1">
      <alignment horizontal="center"/>
    </xf>
    <xf numFmtId="166" fontId="2" fillId="0" borderId="11" xfId="1" applyNumberFormat="1" applyFont="1" applyBorder="1" applyAlignment="1">
      <alignment horizontal="center"/>
    </xf>
    <xf numFmtId="0" fontId="2" fillId="0" borderId="67" xfId="0" applyFont="1" applyBorder="1"/>
    <xf numFmtId="0" fontId="2" fillId="0" borderId="68" xfId="0" applyFont="1" applyBorder="1"/>
    <xf numFmtId="0" fontId="2" fillId="0" borderId="69" xfId="0" applyFont="1" applyBorder="1"/>
    <xf numFmtId="166" fontId="2" fillId="0" borderId="7" xfId="1" applyNumberFormat="1" applyFont="1" applyBorder="1" applyAlignment="1">
      <alignment horizontal="center"/>
    </xf>
    <xf numFmtId="171" fontId="2" fillId="4" borderId="2" xfId="1" applyNumberFormat="1" applyFont="1" applyFill="1" applyBorder="1"/>
    <xf numFmtId="164" fontId="2" fillId="0" borderId="2" xfId="0" applyNumberFormat="1" applyFont="1" applyBorder="1"/>
    <xf numFmtId="3" fontId="2" fillId="0" borderId="2" xfId="0" applyNumberFormat="1" applyFont="1" applyBorder="1"/>
    <xf numFmtId="165" fontId="2" fillId="0" borderId="2" xfId="0" applyNumberFormat="1" applyFont="1" applyBorder="1"/>
    <xf numFmtId="171" fontId="2" fillId="4" borderId="2" xfId="0" applyNumberFormat="1" applyFont="1" applyFill="1" applyBorder="1" applyAlignment="1">
      <alignment horizontal="right"/>
    </xf>
    <xf numFmtId="171" fontId="2" fillId="0" borderId="2" xfId="0" applyNumberFormat="1" applyFont="1" applyBorder="1"/>
    <xf numFmtId="165" fontId="2" fillId="0" borderId="66" xfId="0" applyNumberFormat="1" applyFont="1" applyBorder="1"/>
    <xf numFmtId="171" fontId="2" fillId="0" borderId="63" xfId="0" applyNumberFormat="1" applyFont="1" applyBorder="1"/>
    <xf numFmtId="166" fontId="3" fillId="0" borderId="45" xfId="1" applyNumberFormat="1" applyFont="1" applyBorder="1" applyAlignment="1">
      <alignment horizontal="center"/>
    </xf>
    <xf numFmtId="171" fontId="3" fillId="4" borderId="43" xfId="1" applyNumberFormat="1" applyFont="1" applyFill="1" applyBorder="1"/>
    <xf numFmtId="171" fontId="3" fillId="4" borderId="43" xfId="0" applyNumberFormat="1" applyFont="1" applyFill="1" applyBorder="1" applyAlignment="1">
      <alignment horizontal="right"/>
    </xf>
    <xf numFmtId="164" fontId="2" fillId="0" borderId="43" xfId="0" applyNumberFormat="1" applyFont="1" applyBorder="1"/>
    <xf numFmtId="4" fontId="2" fillId="0" borderId="43" xfId="0" applyNumberFormat="1" applyFont="1" applyBorder="1"/>
    <xf numFmtId="3" fontId="2" fillId="0" borderId="43" xfId="0" applyNumberFormat="1" applyFont="1" applyBorder="1"/>
    <xf numFmtId="171" fontId="2" fillId="0" borderId="43" xfId="0" applyNumberFormat="1" applyFont="1" applyBorder="1"/>
    <xf numFmtId="3" fontId="2" fillId="0" borderId="18" xfId="0" applyNumberFormat="1" applyFont="1" applyBorder="1"/>
    <xf numFmtId="165" fontId="2" fillId="0" borderId="42" xfId="0" applyNumberFormat="1" applyFont="1" applyBorder="1"/>
    <xf numFmtId="171" fontId="2" fillId="0" borderId="44" xfId="0" applyNumberFormat="1" applyFont="1" applyBorder="1"/>
    <xf numFmtId="172" fontId="2" fillId="0" borderId="42" xfId="0" applyNumberFormat="1" applyFont="1" applyBorder="1"/>
    <xf numFmtId="172" fontId="2" fillId="0" borderId="43" xfId="0" applyNumberFormat="1" applyFont="1" applyBorder="1"/>
    <xf numFmtId="0" fontId="1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2" xfId="0" applyFont="1" applyBorder="1"/>
    <xf numFmtId="0" fontId="18" fillId="0" borderId="6" xfId="0" applyFont="1" applyBorder="1"/>
    <xf numFmtId="49" fontId="18" fillId="0" borderId="7" xfId="0" applyNumberFormat="1" applyFont="1" applyBorder="1" applyAlignment="1">
      <alignment horizontal="right"/>
    </xf>
    <xf numFmtId="0" fontId="18" fillId="0" borderId="3" xfId="0" applyFont="1" applyBorder="1"/>
    <xf numFmtId="0" fontId="18" fillId="0" borderId="0" xfId="0" applyFont="1" applyBorder="1"/>
    <xf numFmtId="49" fontId="18" fillId="0" borderId="9" xfId="0" applyNumberFormat="1" applyFont="1" applyBorder="1" applyAlignment="1">
      <alignment horizontal="right"/>
    </xf>
    <xf numFmtId="0" fontId="18" fillId="0" borderId="4" xfId="0" applyFont="1" applyBorder="1"/>
    <xf numFmtId="49" fontId="18" fillId="0" borderId="12" xfId="0" applyNumberFormat="1" applyFont="1" applyBorder="1"/>
    <xf numFmtId="49" fontId="18" fillId="0" borderId="10" xfId="0" applyNumberFormat="1" applyFont="1" applyBorder="1" applyAlignment="1">
      <alignment horizontal="right"/>
    </xf>
    <xf numFmtId="0" fontId="18" fillId="0" borderId="0" xfId="0" applyFont="1"/>
    <xf numFmtId="0" fontId="10" fillId="0" borderId="0" xfId="0" applyFont="1"/>
    <xf numFmtId="172" fontId="2" fillId="0" borderId="35" xfId="0" applyNumberFormat="1" applyFont="1" applyBorder="1"/>
    <xf numFmtId="172" fontId="2" fillId="0" borderId="36" xfId="0" applyNumberFormat="1" applyFont="1" applyBorder="1"/>
    <xf numFmtId="172" fontId="2" fillId="0" borderId="50" xfId="0" applyNumberFormat="1" applyFont="1" applyBorder="1"/>
    <xf numFmtId="172" fontId="2" fillId="0" borderId="60" xfId="0" applyNumberFormat="1" applyFont="1" applyBorder="1"/>
    <xf numFmtId="166" fontId="3" fillId="0" borderId="16" xfId="1" applyNumberFormat="1" applyFont="1" applyBorder="1" applyAlignment="1">
      <alignment horizontal="center"/>
    </xf>
    <xf numFmtId="171" fontId="3" fillId="0" borderId="20" xfId="1" applyNumberFormat="1" applyFont="1" applyFill="1" applyBorder="1"/>
    <xf numFmtId="3" fontId="3" fillId="0" borderId="18" xfId="0" applyNumberFormat="1" applyFont="1" applyFill="1" applyBorder="1"/>
    <xf numFmtId="164" fontId="2" fillId="0" borderId="16" xfId="0" applyNumberFormat="1" applyFont="1" applyFill="1" applyBorder="1"/>
    <xf numFmtId="3" fontId="2" fillId="0" borderId="20" xfId="0" applyNumberFormat="1" applyFont="1" applyFill="1" applyBorder="1"/>
    <xf numFmtId="171" fontId="2" fillId="0" borderId="20" xfId="0" applyNumberFormat="1" applyFont="1" applyFill="1" applyBorder="1"/>
    <xf numFmtId="4" fontId="2" fillId="0" borderId="16" xfId="0" applyNumberFormat="1" applyFont="1" applyFill="1" applyBorder="1"/>
    <xf numFmtId="164" fontId="2" fillId="0" borderId="20" xfId="0" applyNumberFormat="1" applyFont="1" applyFill="1" applyBorder="1"/>
    <xf numFmtId="3" fontId="2" fillId="0" borderId="17" xfId="0" applyNumberFormat="1" applyFont="1" applyFill="1" applyBorder="1"/>
    <xf numFmtId="171" fontId="2" fillId="0" borderId="20" xfId="0" applyNumberFormat="1" applyFont="1" applyBorder="1"/>
    <xf numFmtId="166" fontId="2" fillId="0" borderId="36" xfId="1" applyNumberFormat="1" applyFont="1" applyBorder="1" applyAlignment="1">
      <alignment horizontal="center"/>
    </xf>
    <xf numFmtId="171" fontId="2" fillId="0" borderId="36" xfId="1" applyNumberFormat="1" applyFont="1" applyFill="1" applyBorder="1"/>
    <xf numFmtId="164" fontId="2" fillId="0" borderId="36" xfId="0" applyNumberFormat="1" applyFont="1" applyFill="1" applyBorder="1"/>
    <xf numFmtId="3" fontId="2" fillId="0" borderId="36" xfId="0" applyNumberFormat="1" applyFont="1" applyFill="1" applyBorder="1"/>
    <xf numFmtId="165" fontId="2" fillId="0" borderId="36" xfId="0" applyNumberFormat="1" applyFont="1" applyFill="1" applyBorder="1"/>
    <xf numFmtId="171" fontId="2" fillId="0" borderId="36" xfId="0" applyNumberFormat="1" applyFont="1" applyFill="1" applyBorder="1" applyAlignment="1">
      <alignment horizontal="right"/>
    </xf>
    <xf numFmtId="171" fontId="2" fillId="0" borderId="36" xfId="0" applyNumberFormat="1" applyFont="1" applyFill="1" applyBorder="1"/>
    <xf numFmtId="171" fontId="2" fillId="0" borderId="58" xfId="0" applyNumberFormat="1" applyFont="1" applyBorder="1"/>
    <xf numFmtId="166" fontId="2" fillId="0" borderId="60" xfId="1" applyNumberFormat="1" applyFont="1" applyBorder="1" applyAlignment="1">
      <alignment horizontal="center"/>
    </xf>
    <xf numFmtId="171" fontId="2" fillId="0" borderId="60" xfId="1" applyNumberFormat="1" applyFont="1" applyFill="1" applyBorder="1"/>
    <xf numFmtId="164" fontId="2" fillId="0" borderId="60" xfId="0" applyNumberFormat="1" applyFont="1" applyFill="1" applyBorder="1"/>
    <xf numFmtId="3" fontId="2" fillId="0" borderId="60" xfId="0" applyNumberFormat="1" applyFont="1" applyFill="1" applyBorder="1"/>
    <xf numFmtId="165" fontId="2" fillId="0" borderId="60" xfId="0" applyNumberFormat="1" applyFont="1" applyFill="1" applyBorder="1"/>
    <xf numFmtId="171" fontId="2" fillId="0" borderId="60" xfId="0" applyNumberFormat="1" applyFont="1" applyFill="1" applyBorder="1" applyAlignment="1">
      <alignment horizontal="right"/>
    </xf>
    <xf numFmtId="171" fontId="2" fillId="0" borderId="60" xfId="0" applyNumberFormat="1" applyFont="1" applyFill="1" applyBorder="1"/>
    <xf numFmtId="171" fontId="2" fillId="0" borderId="61" xfId="0" applyNumberFormat="1" applyFont="1" applyBorder="1"/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49" fontId="3" fillId="0" borderId="52" xfId="0" applyNumberFormat="1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0" fillId="0" borderId="3" xfId="0" applyFill="1" applyBorder="1"/>
    <xf numFmtId="0" fontId="14" fillId="0" borderId="3" xfId="0" applyFont="1" applyFill="1" applyBorder="1" applyAlignment="1">
      <alignment horizontal="center"/>
    </xf>
    <xf numFmtId="49" fontId="14" fillId="0" borderId="52" xfId="0" applyNumberFormat="1" applyFont="1" applyFill="1" applyBorder="1" applyAlignment="1">
      <alignment horizontal="center"/>
    </xf>
    <xf numFmtId="174" fontId="3" fillId="0" borderId="20" xfId="1" applyNumberFormat="1" applyFont="1" applyFill="1" applyBorder="1"/>
    <xf numFmtId="165" fontId="2" fillId="0" borderId="25" xfId="0" applyNumberFormat="1" applyFont="1" applyFill="1" applyBorder="1"/>
    <xf numFmtId="41" fontId="2" fillId="0" borderId="47" xfId="1" applyNumberFormat="1" applyFont="1" applyFill="1" applyBorder="1"/>
    <xf numFmtId="41" fontId="2" fillId="0" borderId="3" xfId="1" applyNumberFormat="1" applyFont="1" applyFill="1" applyBorder="1"/>
    <xf numFmtId="41" fontId="2" fillId="0" borderId="52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9" fontId="3" fillId="7" borderId="3" xfId="0" applyNumberFormat="1" applyFont="1" applyFill="1" applyBorder="1" applyAlignment="1">
      <alignment horizontal="center"/>
    </xf>
    <xf numFmtId="49" fontId="3" fillId="7" borderId="52" xfId="0" applyNumberFormat="1" applyFont="1" applyFill="1" applyBorder="1" applyAlignment="1">
      <alignment horizontal="center"/>
    </xf>
    <xf numFmtId="165" fontId="2" fillId="7" borderId="47" xfId="0" applyNumberFormat="1" applyFont="1" applyFill="1" applyBorder="1"/>
    <xf numFmtId="165" fontId="2" fillId="7" borderId="3" xfId="0" applyNumberFormat="1" applyFont="1" applyFill="1" applyBorder="1"/>
    <xf numFmtId="165" fontId="2" fillId="7" borderId="52" xfId="0" applyNumberFormat="1" applyFont="1" applyFill="1" applyBorder="1"/>
    <xf numFmtId="165" fontId="3" fillId="7" borderId="17" xfId="0" applyNumberFormat="1" applyFont="1" applyFill="1" applyBorder="1"/>
    <xf numFmtId="171" fontId="2" fillId="0" borderId="17" xfId="1" applyNumberFormat="1" applyFont="1" applyBorder="1"/>
    <xf numFmtId="3" fontId="3" fillId="0" borderId="17" xfId="0" applyNumberFormat="1" applyFont="1" applyFill="1" applyBorder="1" applyAlignment="1">
      <alignment horizontal="right"/>
    </xf>
    <xf numFmtId="0" fontId="18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3" fontId="18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right"/>
    </xf>
    <xf numFmtId="49" fontId="18" fillId="0" borderId="0" xfId="0" applyNumberFormat="1" applyFont="1" applyBorder="1"/>
    <xf numFmtId="0" fontId="10" fillId="0" borderId="0" xfId="0" applyFont="1" applyBorder="1" applyAlignme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distributed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5" fillId="0" borderId="2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4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175" fontId="0" fillId="0" borderId="0" xfId="0" applyNumberFormat="1"/>
    <xf numFmtId="165" fontId="3" fillId="0" borderId="20" xfId="0" applyNumberFormat="1" applyFont="1" applyFill="1" applyBorder="1"/>
    <xf numFmtId="165" fontId="2" fillId="0" borderId="20" xfId="0" applyNumberFormat="1" applyFont="1" applyFill="1" applyBorder="1"/>
    <xf numFmtId="165" fontId="3" fillId="0" borderId="20" xfId="0" applyNumberFormat="1" applyFont="1" applyBorder="1"/>
    <xf numFmtId="165" fontId="3" fillId="0" borderId="28" xfId="0" applyNumberFormat="1" applyFont="1" applyBorder="1"/>
    <xf numFmtId="165" fontId="2" fillId="0" borderId="44" xfId="0" applyNumberFormat="1" applyFont="1" applyFill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2" fillId="0" borderId="44" xfId="0" applyNumberFormat="1" applyFont="1" applyBorder="1" applyAlignment="1">
      <alignment horizontal="right"/>
    </xf>
    <xf numFmtId="165" fontId="2" fillId="0" borderId="16" xfId="0" applyNumberFormat="1" applyFont="1" applyFill="1" applyBorder="1" applyAlignment="1">
      <alignment horizontal="right"/>
    </xf>
    <xf numFmtId="2" fontId="3" fillId="0" borderId="17" xfId="0" applyNumberFormat="1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165" fontId="2" fillId="0" borderId="7" xfId="0" applyNumberFormat="1" applyFont="1" applyFill="1" applyBorder="1"/>
    <xf numFmtId="165" fontId="2" fillId="0" borderId="9" xfId="0" applyNumberFormat="1" applyFont="1" applyFill="1" applyBorder="1"/>
    <xf numFmtId="165" fontId="2" fillId="0" borderId="3" xfId="0" applyNumberFormat="1" applyFont="1" applyFill="1" applyBorder="1"/>
    <xf numFmtId="165" fontId="2" fillId="0" borderId="26" xfId="0" applyNumberFormat="1" applyFont="1" applyFill="1" applyBorder="1"/>
    <xf numFmtId="165" fontId="2" fillId="0" borderId="27" xfId="0" applyNumberFormat="1" applyFont="1" applyFill="1" applyBorder="1"/>
    <xf numFmtId="165" fontId="2" fillId="0" borderId="47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52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5" fontId="3" fillId="0" borderId="14" xfId="0" applyNumberFormat="1" applyFont="1" applyFill="1" applyBorder="1"/>
    <xf numFmtId="3" fontId="2" fillId="0" borderId="58" xfId="0" applyNumberFormat="1" applyFont="1" applyBorder="1" applyAlignment="1"/>
    <xf numFmtId="165" fontId="2" fillId="0" borderId="35" xfId="0" applyNumberFormat="1" applyFont="1" applyBorder="1" applyAlignment="1"/>
    <xf numFmtId="165" fontId="2" fillId="0" borderId="65" xfId="0" applyNumberFormat="1" applyFont="1" applyFill="1" applyBorder="1" applyAlignment="1"/>
    <xf numFmtId="3" fontId="2" fillId="0" borderId="64" xfId="0" applyNumberFormat="1" applyFont="1" applyFill="1" applyBorder="1" applyAlignment="1"/>
    <xf numFmtId="3" fontId="2" fillId="0" borderId="59" xfId="0" applyNumberFormat="1" applyFont="1" applyBorder="1" applyAlignment="1"/>
    <xf numFmtId="165" fontId="2" fillId="0" borderId="38" xfId="0" applyNumberFormat="1" applyFont="1" applyBorder="1" applyAlignment="1"/>
    <xf numFmtId="3" fontId="2" fillId="0" borderId="61" xfId="0" applyNumberFormat="1" applyFont="1" applyBorder="1" applyAlignment="1"/>
    <xf numFmtId="165" fontId="2" fillId="0" borderId="50" xfId="0" applyNumberFormat="1" applyFont="1" applyBorder="1" applyAlignment="1"/>
    <xf numFmtId="165" fontId="2" fillId="0" borderId="66" xfId="0" applyNumberFormat="1" applyFont="1" applyBorder="1" applyAlignment="1"/>
    <xf numFmtId="3" fontId="2" fillId="0" borderId="63" xfId="0" applyNumberFormat="1" applyFont="1" applyBorder="1" applyAlignment="1"/>
    <xf numFmtId="3" fontId="2" fillId="0" borderId="44" xfId="0" applyNumberFormat="1" applyFont="1" applyBorder="1"/>
    <xf numFmtId="165" fontId="2" fillId="0" borderId="42" xfId="0" applyNumberFormat="1" applyFont="1" applyFill="1" applyBorder="1"/>
    <xf numFmtId="3" fontId="2" fillId="0" borderId="44" xfId="0" applyNumberFormat="1" applyFont="1" applyFill="1" applyBorder="1"/>
    <xf numFmtId="0" fontId="2" fillId="0" borderId="35" xfId="0" applyFont="1" applyBorder="1"/>
    <xf numFmtId="0" fontId="2" fillId="0" borderId="38" xfId="0" applyFont="1" applyBorder="1"/>
    <xf numFmtId="0" fontId="2" fillId="0" borderId="50" xfId="0" applyFont="1" applyBorder="1"/>
    <xf numFmtId="164" fontId="2" fillId="0" borderId="42" xfId="0" applyNumberFormat="1" applyFont="1" applyBorder="1"/>
    <xf numFmtId="3" fontId="2" fillId="0" borderId="12" xfId="0" applyNumberFormat="1" applyFont="1" applyBorder="1" applyAlignment="1"/>
    <xf numFmtId="3" fontId="2" fillId="0" borderId="0" xfId="0" applyNumberFormat="1" applyFont="1" applyBorder="1" applyAlignment="1"/>
    <xf numFmtId="3" fontId="2" fillId="0" borderId="17" xfId="0" applyNumberFormat="1" applyFont="1" applyBorder="1"/>
    <xf numFmtId="0" fontId="3" fillId="0" borderId="30" xfId="0" applyFont="1" applyBorder="1" applyAlignment="1">
      <alignment horizontal="center" vertical="justify"/>
    </xf>
    <xf numFmtId="9" fontId="3" fillId="0" borderId="3" xfId="0" applyNumberFormat="1" applyFont="1" applyFill="1" applyBorder="1" applyAlignment="1">
      <alignment horizontal="center"/>
    </xf>
    <xf numFmtId="3" fontId="0" fillId="0" borderId="47" xfId="0" applyNumberFormat="1" applyBorder="1"/>
    <xf numFmtId="3" fontId="0" fillId="0" borderId="48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49" fontId="3" fillId="0" borderId="54" xfId="0" applyNumberFormat="1" applyFont="1" applyFill="1" applyBorder="1" applyAlignment="1">
      <alignment horizontal="center"/>
    </xf>
    <xf numFmtId="49" fontId="3" fillId="0" borderId="56" xfId="0" applyNumberFormat="1" applyFont="1" applyFill="1" applyBorder="1" applyAlignment="1">
      <alignment horizontal="center"/>
    </xf>
    <xf numFmtId="3" fontId="2" fillId="0" borderId="47" xfId="0" applyNumberFormat="1" applyFont="1" applyFill="1" applyBorder="1"/>
    <xf numFmtId="3" fontId="2" fillId="0" borderId="55" xfId="0" applyNumberFormat="1" applyFont="1" applyFill="1" applyBorder="1"/>
    <xf numFmtId="3" fontId="2" fillId="0" borderId="54" xfId="0" applyNumberFormat="1" applyFont="1" applyFill="1" applyBorder="1"/>
    <xf numFmtId="3" fontId="2" fillId="0" borderId="52" xfId="0" applyNumberFormat="1" applyFont="1" applyFill="1" applyBorder="1"/>
    <xf numFmtId="3" fontId="2" fillId="0" borderId="56" xfId="0" applyNumberFormat="1" applyFont="1" applyFill="1" applyBorder="1"/>
    <xf numFmtId="3" fontId="3" fillId="0" borderId="20" xfId="0" applyNumberFormat="1" applyFont="1" applyFill="1" applyBorder="1"/>
    <xf numFmtId="3" fontId="3" fillId="0" borderId="17" xfId="0" applyNumberFormat="1" applyFont="1" applyFill="1" applyBorder="1"/>
    <xf numFmtId="3" fontId="3" fillId="0" borderId="20" xfId="0" applyNumberFormat="1" applyFont="1" applyBorder="1" applyAlignment="1">
      <alignment horizontal="right"/>
    </xf>
    <xf numFmtId="0" fontId="3" fillId="0" borderId="39" xfId="0" applyFont="1" applyBorder="1"/>
    <xf numFmtId="166" fontId="3" fillId="0" borderId="28" xfId="1" applyNumberFormat="1" applyFont="1" applyBorder="1" applyAlignment="1">
      <alignment horizontal="center"/>
    </xf>
    <xf numFmtId="171" fontId="3" fillId="0" borderId="40" xfId="1" applyNumberFormat="1" applyFont="1" applyBorder="1"/>
    <xf numFmtId="171" fontId="2" fillId="0" borderId="41" xfId="1" applyNumberFormat="1" applyFont="1" applyBorder="1"/>
    <xf numFmtId="166" fontId="2" fillId="0" borderId="28" xfId="1" applyNumberFormat="1" applyFont="1" applyBorder="1" applyAlignment="1">
      <alignment horizontal="right"/>
    </xf>
    <xf numFmtId="171" fontId="2" fillId="0" borderId="40" xfId="1" applyNumberFormat="1" applyFont="1" applyFill="1" applyBorder="1"/>
    <xf numFmtId="164" fontId="2" fillId="0" borderId="40" xfId="0" applyNumberFormat="1" applyFont="1" applyBorder="1"/>
    <xf numFmtId="3" fontId="2" fillId="0" borderId="28" xfId="0" applyNumberFormat="1" applyFont="1" applyFill="1" applyBorder="1"/>
    <xf numFmtId="3" fontId="2" fillId="0" borderId="40" xfId="0" applyNumberFormat="1" applyFont="1" applyBorder="1"/>
    <xf numFmtId="165" fontId="2" fillId="0" borderId="28" xfId="0" applyNumberFormat="1" applyFont="1" applyFill="1" applyBorder="1"/>
    <xf numFmtId="3" fontId="2" fillId="0" borderId="40" xfId="0" applyNumberFormat="1" applyFont="1" applyFill="1" applyBorder="1" applyAlignment="1"/>
    <xf numFmtId="3" fontId="2" fillId="0" borderId="28" xfId="0" applyNumberFormat="1" applyFont="1" applyFill="1" applyBorder="1" applyAlignment="1"/>
    <xf numFmtId="49" fontId="18" fillId="0" borderId="7" xfId="0" applyNumberFormat="1" applyFont="1" applyFill="1" applyBorder="1" applyAlignment="1">
      <alignment horizontal="right"/>
    </xf>
    <xf numFmtId="49" fontId="18" fillId="0" borderId="9" xfId="0" applyNumberFormat="1" applyFont="1" applyFill="1" applyBorder="1" applyAlignment="1">
      <alignment horizontal="right"/>
    </xf>
    <xf numFmtId="49" fontId="18" fillId="0" borderId="10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center" vertical="distributed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justify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 vertical="distributed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justify"/>
    </xf>
    <xf numFmtId="0" fontId="3" fillId="0" borderId="62" xfId="0" applyFont="1" applyBorder="1" applyAlignment="1">
      <alignment horizontal="center" vertical="justify"/>
    </xf>
    <xf numFmtId="0" fontId="3" fillId="0" borderId="6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wrapText="1"/>
    </xf>
    <xf numFmtId="0" fontId="0" fillId="0" borderId="6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justify"/>
    </xf>
    <xf numFmtId="0" fontId="17" fillId="0" borderId="62" xfId="0" applyFont="1" applyBorder="1" applyAlignment="1">
      <alignment horizontal="center" vertical="justify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9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60" xfId="0" applyFont="1" applyFill="1" applyBorder="1" applyAlignment="1">
      <alignment horizontal="left"/>
    </xf>
    <xf numFmtId="4" fontId="3" fillId="0" borderId="60" xfId="0" applyNumberFormat="1" applyFont="1" applyFill="1" applyBorder="1" applyAlignment="1">
      <alignment horizontal="right"/>
    </xf>
    <xf numFmtId="0" fontId="3" fillId="0" borderId="61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23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4" fontId="2" fillId="0" borderId="36" xfId="0" applyNumberFormat="1" applyFont="1" applyFill="1" applyBorder="1" applyAlignment="1">
      <alignment horizontal="right"/>
    </xf>
    <xf numFmtId="4" fontId="2" fillId="0" borderId="58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4" fontId="2" fillId="5" borderId="8" xfId="0" applyNumberFormat="1" applyFont="1" applyFill="1" applyBorder="1" applyAlignment="1">
      <alignment horizontal="right"/>
    </xf>
    <xf numFmtId="4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distributed" wrapText="1"/>
    </xf>
    <xf numFmtId="0" fontId="0" fillId="0" borderId="3" xfId="0" applyBorder="1" applyAlignment="1">
      <alignment horizontal="center" vertical="distributed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71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center" vertical="justify"/>
    </xf>
    <xf numFmtId="0" fontId="3" fillId="0" borderId="3" xfId="0" applyFont="1" applyFill="1" applyBorder="1" applyAlignment="1">
      <alignment horizontal="center" vertical="justify"/>
    </xf>
    <xf numFmtId="0" fontId="3" fillId="0" borderId="52" xfId="0" applyFont="1" applyFill="1" applyBorder="1" applyAlignment="1">
      <alignment horizontal="center" vertical="justify"/>
    </xf>
    <xf numFmtId="0" fontId="3" fillId="0" borderId="29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9" fontId="3" fillId="0" borderId="23" xfId="0" applyNumberFormat="1" applyFont="1" applyFill="1" applyBorder="1" applyAlignment="1">
      <alignment horizontal="center" vertical="center" wrapText="1"/>
    </xf>
    <xf numFmtId="9" fontId="3" fillId="0" borderId="24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justify" wrapText="1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CP.LIBIA%20ESTRADA\Desktop\2017\preupuesto\ESTIMACION%20DE%20PARTICIPACIONES%202017%20POE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STO ESTATAL 2017"/>
      <sheetName val="ISANACUMULADO"/>
      <sheetName val="ISAN2017 FONDO"/>
      <sheetName val="ISAN2017"/>
      <sheetName val="F.G.P. (total)"/>
      <sheetName val="F.G.P.incremento"/>
      <sheetName val="F.G.P. 2014"/>
      <sheetName val="F.G.P 2017."/>
      <sheetName val="F.F.M.CONC"/>
      <sheetName val="F.F.M.70%"/>
      <sheetName val="F.F.M.30%"/>
      <sheetName val="F.F.M.100% 2014"/>
      <sheetName val="IEPS 2014 "/>
      <sheetName val="IEPS (incremento)"/>
      <sheetName val="IEPS tptal)"/>
      <sheetName val="IEPSGAS (total)"/>
      <sheetName val="IEPSGAS incremento"/>
      <sheetName val="IEPSGAS 2014  "/>
      <sheetName val="FOFIE"/>
      <sheetName val="FOFIE variacion"/>
      <sheetName val="FOFIE 2014 "/>
      <sheetName val="F.C 2017"/>
      <sheetName val=" INCREMENTO"/>
      <sheetName val=" fc 2014"/>
      <sheetName val="ISANYFCISAN public)"/>
      <sheetName val="ISANYFCISAN"/>
      <sheetName val="TENENCIAESTATAL"/>
      <sheetName val="CONCENTRADO"/>
      <sheetName val="CONCENTRADOBRUTO"/>
    </sheetNames>
    <sheetDataSet>
      <sheetData sheetId="0">
        <row r="50">
          <cell r="B50">
            <v>6761113.0970186256</v>
          </cell>
        </row>
      </sheetData>
      <sheetData sheetId="1"/>
      <sheetData sheetId="2"/>
      <sheetData sheetId="3"/>
      <sheetData sheetId="4"/>
      <sheetData sheetId="5"/>
      <sheetData sheetId="6">
        <row r="27">
          <cell r="C27">
            <v>79519983.975000009</v>
          </cell>
        </row>
      </sheetData>
      <sheetData sheetId="7">
        <row r="7">
          <cell r="B7">
            <v>3.6494080000000002</v>
          </cell>
        </row>
      </sheetData>
      <sheetData sheetId="8"/>
      <sheetData sheetId="9"/>
      <sheetData sheetId="10"/>
      <sheetData sheetId="11">
        <row r="27">
          <cell r="C27">
            <v>35431649.000000007</v>
          </cell>
        </row>
      </sheetData>
      <sheetData sheetId="12">
        <row r="27">
          <cell r="C27">
            <v>1445775.3033262629</v>
          </cell>
        </row>
      </sheetData>
      <sheetData sheetId="13"/>
      <sheetData sheetId="14"/>
      <sheetData sheetId="15"/>
      <sheetData sheetId="16"/>
      <sheetData sheetId="17">
        <row r="27">
          <cell r="C27">
            <v>2973029.9267640822</v>
          </cell>
        </row>
      </sheetData>
      <sheetData sheetId="18"/>
      <sheetData sheetId="19"/>
      <sheetData sheetId="20">
        <row r="27">
          <cell r="C27">
            <v>4226222.5351250712</v>
          </cell>
        </row>
      </sheetData>
      <sheetData sheetId="21"/>
      <sheetData sheetId="22"/>
      <sheetData sheetId="23">
        <row r="7">
          <cell r="O7">
            <v>2891598.5474999999</v>
          </cell>
        </row>
        <row r="8">
          <cell r="O8">
            <v>1237088.0925</v>
          </cell>
        </row>
        <row r="9">
          <cell r="O9">
            <v>1001813.6699999999</v>
          </cell>
        </row>
        <row r="10">
          <cell r="O10">
            <v>5798376.0899999999</v>
          </cell>
        </row>
        <row r="11">
          <cell r="O11">
            <v>4705488.4499999993</v>
          </cell>
        </row>
        <row r="12">
          <cell r="O12">
            <v>5487206.6924999999</v>
          </cell>
        </row>
        <row r="13">
          <cell r="O13">
            <v>1517899.5</v>
          </cell>
        </row>
        <row r="14">
          <cell r="O14">
            <v>2026395.8325</v>
          </cell>
        </row>
        <row r="15">
          <cell r="O15">
            <v>1745584.425</v>
          </cell>
        </row>
        <row r="16">
          <cell r="O16">
            <v>1753173.9224999999</v>
          </cell>
        </row>
        <row r="17">
          <cell r="O17">
            <v>3832696.2374999993</v>
          </cell>
        </row>
        <row r="18">
          <cell r="O18">
            <v>1958090.3549999997</v>
          </cell>
        </row>
        <row r="19">
          <cell r="O19">
            <v>2572839.6525000003</v>
          </cell>
        </row>
        <row r="20">
          <cell r="O20">
            <v>622338.79499999993</v>
          </cell>
        </row>
        <row r="21">
          <cell r="O21">
            <v>1722815.9325000003</v>
          </cell>
        </row>
        <row r="22">
          <cell r="O22">
            <v>6519378.3525</v>
          </cell>
        </row>
        <row r="23">
          <cell r="O23">
            <v>3453221.3624999993</v>
          </cell>
        </row>
        <row r="24">
          <cell r="O24">
            <v>22024721.744999997</v>
          </cell>
        </row>
        <row r="25">
          <cell r="O25">
            <v>2071932.8175000001</v>
          </cell>
        </row>
        <row r="26">
          <cell r="O26">
            <v>2952314.5274999999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53"/>
  <sheetViews>
    <sheetView tabSelected="1" workbookViewId="0">
      <selection activeCell="B3" sqref="B3"/>
    </sheetView>
  </sheetViews>
  <sheetFormatPr baseColWidth="10" defaultRowHeight="15" x14ac:dyDescent="0.25"/>
  <cols>
    <col min="1" max="1" width="15.85546875" bestFit="1" customWidth="1"/>
    <col min="2" max="4" width="15.85546875" customWidth="1"/>
    <col min="5" max="5" width="15.85546875" bestFit="1" customWidth="1"/>
    <col min="6" max="7" width="15.85546875" customWidth="1"/>
  </cols>
  <sheetData>
    <row r="1" spans="1:18" ht="15.75" x14ac:dyDescent="0.25">
      <c r="A1" s="641" t="s">
        <v>323</v>
      </c>
      <c r="B1" s="641"/>
      <c r="C1" s="641"/>
      <c r="D1" s="641"/>
      <c r="E1" s="641"/>
      <c r="F1" s="641"/>
      <c r="G1" s="641"/>
    </row>
    <row r="2" spans="1:18" ht="30" customHeight="1" x14ac:dyDescent="0.25">
      <c r="A2" s="642" t="s">
        <v>380</v>
      </c>
      <c r="B2" s="642"/>
      <c r="C2" s="642"/>
      <c r="D2" s="642"/>
      <c r="E2" s="642"/>
      <c r="F2" s="642"/>
      <c r="G2" s="642"/>
    </row>
    <row r="4" spans="1:18" ht="15.75" x14ac:dyDescent="0.25">
      <c r="A4" s="549"/>
      <c r="B4" s="549"/>
      <c r="C4" s="549"/>
      <c r="D4" s="549"/>
      <c r="E4" s="549"/>
    </row>
    <row r="5" spans="1:18" ht="32.25" customHeight="1" x14ac:dyDescent="0.25">
      <c r="A5" s="550"/>
      <c r="B5" s="643" t="s">
        <v>289</v>
      </c>
      <c r="C5" s="644"/>
      <c r="D5" s="644"/>
      <c r="E5" s="644"/>
      <c r="F5" s="645"/>
      <c r="N5" s="549"/>
      <c r="O5" s="549"/>
      <c r="P5" s="549"/>
      <c r="Q5" s="549"/>
      <c r="R5" s="549"/>
    </row>
    <row r="6" spans="1:18" ht="30" customHeight="1" x14ac:dyDescent="0.25">
      <c r="A6" s="550"/>
      <c r="B6" s="646" t="s">
        <v>290</v>
      </c>
      <c r="C6" s="640" t="s">
        <v>93</v>
      </c>
      <c r="D6" s="640"/>
      <c r="E6" s="640" t="s">
        <v>106</v>
      </c>
      <c r="F6" s="640"/>
      <c r="N6" s="550"/>
      <c r="O6" s="551"/>
      <c r="P6" s="551"/>
      <c r="Q6" s="551"/>
      <c r="R6" s="551"/>
    </row>
    <row r="7" spans="1:18" ht="15.75" x14ac:dyDescent="0.25">
      <c r="A7" s="466"/>
      <c r="B7" s="647"/>
      <c r="C7" s="640" t="s">
        <v>291</v>
      </c>
      <c r="D7" s="640"/>
      <c r="E7" s="640" t="s">
        <v>291</v>
      </c>
      <c r="F7" s="640"/>
      <c r="N7" s="550"/>
      <c r="O7" s="551"/>
      <c r="P7" s="551"/>
      <c r="Q7" s="551"/>
      <c r="R7" s="551"/>
    </row>
    <row r="8" spans="1:18" ht="15.75" x14ac:dyDescent="0.25">
      <c r="A8" s="466"/>
      <c r="B8" s="462" t="s">
        <v>292</v>
      </c>
      <c r="C8" s="463" t="s">
        <v>293</v>
      </c>
      <c r="D8" s="464" t="s">
        <v>294</v>
      </c>
      <c r="E8" s="463" t="s">
        <v>293</v>
      </c>
      <c r="F8" s="637" t="s">
        <v>298</v>
      </c>
      <c r="N8" s="466"/>
      <c r="O8" s="466"/>
      <c r="P8" s="547"/>
      <c r="Q8" s="466"/>
      <c r="R8" s="547"/>
    </row>
    <row r="9" spans="1:18" ht="15.75" x14ac:dyDescent="0.25">
      <c r="A9" s="466"/>
      <c r="B9" s="465" t="s">
        <v>293</v>
      </c>
      <c r="C9" s="466" t="s">
        <v>296</v>
      </c>
      <c r="D9" s="467" t="s">
        <v>297</v>
      </c>
      <c r="E9" s="466" t="s">
        <v>296</v>
      </c>
      <c r="F9" s="638" t="s">
        <v>295</v>
      </c>
      <c r="N9" s="466"/>
      <c r="O9" s="466"/>
      <c r="P9" s="547"/>
      <c r="Q9" s="466"/>
      <c r="R9" s="547"/>
    </row>
    <row r="10" spans="1:18" ht="15.75" x14ac:dyDescent="0.25">
      <c r="A10" s="466"/>
      <c r="B10" s="465" t="s">
        <v>296</v>
      </c>
      <c r="C10" s="466" t="s">
        <v>299</v>
      </c>
      <c r="D10" s="467" t="s">
        <v>300</v>
      </c>
      <c r="E10" s="466" t="s">
        <v>299</v>
      </c>
      <c r="F10" s="638" t="s">
        <v>298</v>
      </c>
      <c r="N10" s="466"/>
      <c r="O10" s="466"/>
      <c r="P10" s="547"/>
      <c r="Q10" s="466"/>
      <c r="R10" s="547"/>
    </row>
    <row r="11" spans="1:18" ht="15.75" x14ac:dyDescent="0.25">
      <c r="A11" s="466"/>
      <c r="B11" s="465" t="s">
        <v>299</v>
      </c>
      <c r="C11" s="466" t="s">
        <v>301</v>
      </c>
      <c r="D11" s="467" t="s">
        <v>300</v>
      </c>
      <c r="E11" s="466" t="s">
        <v>301</v>
      </c>
      <c r="F11" s="638" t="s">
        <v>295</v>
      </c>
      <c r="N11" s="466"/>
      <c r="O11" s="466"/>
      <c r="P11" s="547"/>
      <c r="Q11" s="466"/>
      <c r="R11" s="547"/>
    </row>
    <row r="12" spans="1:18" ht="15.75" x14ac:dyDescent="0.25">
      <c r="A12" s="466"/>
      <c r="B12" s="465" t="s">
        <v>301</v>
      </c>
      <c r="C12" s="466" t="s">
        <v>302</v>
      </c>
      <c r="D12" s="467" t="s">
        <v>294</v>
      </c>
      <c r="E12" s="466" t="s">
        <v>302</v>
      </c>
      <c r="F12" s="638" t="s">
        <v>298</v>
      </c>
      <c r="N12" s="466"/>
      <c r="O12" s="466"/>
      <c r="P12" s="547"/>
      <c r="Q12" s="466"/>
      <c r="R12" s="547"/>
    </row>
    <row r="13" spans="1:18" ht="15.75" x14ac:dyDescent="0.25">
      <c r="A13" s="466"/>
      <c r="B13" s="465" t="s">
        <v>302</v>
      </c>
      <c r="C13" s="466" t="s">
        <v>303</v>
      </c>
      <c r="D13" s="467" t="s">
        <v>300</v>
      </c>
      <c r="E13" s="466" t="s">
        <v>303</v>
      </c>
      <c r="F13" s="638" t="s">
        <v>298</v>
      </c>
      <c r="N13" s="466"/>
      <c r="O13" s="466"/>
      <c r="P13" s="547"/>
      <c r="Q13" s="466"/>
      <c r="R13" s="547"/>
    </row>
    <row r="14" spans="1:18" ht="15.75" x14ac:dyDescent="0.25">
      <c r="A14" s="466"/>
      <c r="B14" s="465" t="s">
        <v>303</v>
      </c>
      <c r="C14" s="466" t="s">
        <v>304</v>
      </c>
      <c r="D14" s="467" t="s">
        <v>294</v>
      </c>
      <c r="E14" s="466" t="s">
        <v>304</v>
      </c>
      <c r="F14" s="638" t="s">
        <v>298</v>
      </c>
      <c r="N14" s="466"/>
      <c r="O14" s="466"/>
      <c r="P14" s="547"/>
      <c r="Q14" s="466"/>
      <c r="R14" s="547"/>
    </row>
    <row r="15" spans="1:18" ht="15.75" x14ac:dyDescent="0.25">
      <c r="A15" s="466"/>
      <c r="B15" s="465" t="s">
        <v>304</v>
      </c>
      <c r="C15" s="466" t="s">
        <v>305</v>
      </c>
      <c r="D15" s="467" t="s">
        <v>294</v>
      </c>
      <c r="E15" s="466" t="s">
        <v>305</v>
      </c>
      <c r="F15" s="638" t="s">
        <v>298</v>
      </c>
      <c r="N15" s="466"/>
      <c r="O15" s="466"/>
      <c r="P15" s="547"/>
      <c r="Q15" s="466"/>
      <c r="R15" s="547"/>
    </row>
    <row r="16" spans="1:18" ht="15.75" x14ac:dyDescent="0.25">
      <c r="A16" s="466"/>
      <c r="B16" s="465" t="s">
        <v>305</v>
      </c>
      <c r="C16" s="466" t="s">
        <v>306</v>
      </c>
      <c r="D16" s="467" t="s">
        <v>307</v>
      </c>
      <c r="E16" s="466" t="s">
        <v>306</v>
      </c>
      <c r="F16" s="638" t="s">
        <v>315</v>
      </c>
      <c r="N16" s="466"/>
      <c r="O16" s="466"/>
      <c r="P16" s="547"/>
      <c r="Q16" s="466"/>
      <c r="R16" s="547"/>
    </row>
    <row r="17" spans="1:18" ht="15.75" x14ac:dyDescent="0.25">
      <c r="A17" s="466"/>
      <c r="B17" s="465" t="s">
        <v>306</v>
      </c>
      <c r="C17" s="466" t="s">
        <v>308</v>
      </c>
      <c r="D17" s="467" t="s">
        <v>294</v>
      </c>
      <c r="E17" s="466" t="s">
        <v>308</v>
      </c>
      <c r="F17" s="638" t="s">
        <v>298</v>
      </c>
      <c r="N17" s="466"/>
      <c r="O17" s="466"/>
      <c r="P17" s="547"/>
      <c r="Q17" s="466"/>
      <c r="R17" s="547"/>
    </row>
    <row r="18" spans="1:18" ht="15.75" x14ac:dyDescent="0.25">
      <c r="A18" s="466"/>
      <c r="B18" s="465" t="s">
        <v>308</v>
      </c>
      <c r="C18" s="466" t="s">
        <v>309</v>
      </c>
      <c r="D18" s="467" t="s">
        <v>310</v>
      </c>
      <c r="E18" s="466" t="s">
        <v>309</v>
      </c>
      <c r="F18" s="638" t="s">
        <v>298</v>
      </c>
      <c r="N18" s="466"/>
      <c r="O18" s="466"/>
      <c r="P18" s="547"/>
      <c r="Q18" s="466"/>
      <c r="R18" s="547"/>
    </row>
    <row r="19" spans="1:18" ht="15.75" x14ac:dyDescent="0.25">
      <c r="B19" s="468" t="s">
        <v>309</v>
      </c>
      <c r="C19" s="469" t="s">
        <v>311</v>
      </c>
      <c r="D19" s="470" t="s">
        <v>300</v>
      </c>
      <c r="E19" s="469" t="s">
        <v>311</v>
      </c>
      <c r="F19" s="639" t="s">
        <v>295</v>
      </c>
      <c r="N19" s="466"/>
      <c r="O19" s="548"/>
      <c r="P19" s="547"/>
      <c r="Q19" s="548"/>
      <c r="R19" s="547"/>
    </row>
    <row r="20" spans="1:18" ht="15.75" x14ac:dyDescent="0.25">
      <c r="B20" s="466"/>
      <c r="C20" s="548"/>
      <c r="D20" s="547"/>
      <c r="E20" s="548"/>
      <c r="F20" s="547"/>
      <c r="N20" s="466"/>
      <c r="O20" s="548"/>
      <c r="P20" s="547"/>
      <c r="Q20" s="548"/>
      <c r="R20" s="547"/>
    </row>
    <row r="22" spans="1:18" ht="15.75" x14ac:dyDescent="0.25">
      <c r="A22" s="648" t="s">
        <v>289</v>
      </c>
      <c r="B22" s="649"/>
      <c r="C22" s="649"/>
      <c r="D22" s="649"/>
      <c r="E22" s="649"/>
      <c r="F22" s="649"/>
      <c r="G22" s="650"/>
    </row>
    <row r="23" spans="1:18" ht="49.5" customHeight="1" x14ac:dyDescent="0.25">
      <c r="A23" s="646" t="s">
        <v>290</v>
      </c>
      <c r="B23" s="640" t="s">
        <v>235</v>
      </c>
      <c r="C23" s="640"/>
      <c r="D23" s="640" t="s">
        <v>312</v>
      </c>
      <c r="E23" s="640"/>
      <c r="F23" s="640" t="s">
        <v>233</v>
      </c>
      <c r="G23" s="640"/>
    </row>
    <row r="24" spans="1:18" ht="15.75" customHeight="1" x14ac:dyDescent="0.25">
      <c r="A24" s="647"/>
      <c r="B24" s="646" t="s">
        <v>291</v>
      </c>
      <c r="C24" s="646"/>
      <c r="D24" s="640" t="s">
        <v>291</v>
      </c>
      <c r="E24" s="640"/>
      <c r="F24" s="646" t="s">
        <v>291</v>
      </c>
      <c r="G24" s="646"/>
    </row>
    <row r="25" spans="1:18" ht="15.75" x14ac:dyDescent="0.25">
      <c r="A25" s="462" t="s">
        <v>292</v>
      </c>
      <c r="B25" s="463" t="s">
        <v>293</v>
      </c>
      <c r="C25" s="637" t="s">
        <v>298</v>
      </c>
      <c r="D25" s="463" t="s">
        <v>293</v>
      </c>
      <c r="E25" s="637" t="s">
        <v>313</v>
      </c>
      <c r="F25" s="463" t="s">
        <v>293</v>
      </c>
      <c r="G25" s="637" t="s">
        <v>294</v>
      </c>
    </row>
    <row r="26" spans="1:18" ht="15.75" x14ac:dyDescent="0.25">
      <c r="A26" s="465" t="s">
        <v>293</v>
      </c>
      <c r="B26" s="466" t="s">
        <v>296</v>
      </c>
      <c r="C26" s="638" t="s">
        <v>295</v>
      </c>
      <c r="D26" s="466" t="s">
        <v>296</v>
      </c>
      <c r="E26" s="638" t="s">
        <v>313</v>
      </c>
      <c r="F26" s="466" t="s">
        <v>296</v>
      </c>
      <c r="G26" s="638" t="s">
        <v>300</v>
      </c>
    </row>
    <row r="27" spans="1:18" ht="15.75" x14ac:dyDescent="0.25">
      <c r="A27" s="465" t="s">
        <v>296</v>
      </c>
      <c r="B27" s="466" t="s">
        <v>299</v>
      </c>
      <c r="C27" s="638" t="s">
        <v>298</v>
      </c>
      <c r="D27" s="466" t="s">
        <v>299</v>
      </c>
      <c r="E27" s="638" t="s">
        <v>314</v>
      </c>
      <c r="F27" s="466" t="s">
        <v>299</v>
      </c>
      <c r="G27" s="638" t="s">
        <v>300</v>
      </c>
    </row>
    <row r="28" spans="1:18" ht="15.75" x14ac:dyDescent="0.25">
      <c r="A28" s="465" t="s">
        <v>299</v>
      </c>
      <c r="B28" s="466" t="s">
        <v>301</v>
      </c>
      <c r="C28" s="638" t="s">
        <v>295</v>
      </c>
      <c r="D28" s="466" t="s">
        <v>301</v>
      </c>
      <c r="E28" s="638" t="s">
        <v>313</v>
      </c>
      <c r="F28" s="466" t="s">
        <v>301</v>
      </c>
      <c r="G28" s="638" t="s">
        <v>307</v>
      </c>
    </row>
    <row r="29" spans="1:18" ht="15.75" x14ac:dyDescent="0.25">
      <c r="A29" s="465" t="s">
        <v>301</v>
      </c>
      <c r="B29" s="466" t="s">
        <v>302</v>
      </c>
      <c r="C29" s="638" t="s">
        <v>298</v>
      </c>
      <c r="D29" s="466" t="s">
        <v>302</v>
      </c>
      <c r="E29" s="638" t="s">
        <v>378</v>
      </c>
      <c r="F29" s="466" t="s">
        <v>302</v>
      </c>
      <c r="G29" s="638" t="s">
        <v>294</v>
      </c>
    </row>
    <row r="30" spans="1:18" ht="15.75" x14ac:dyDescent="0.25">
      <c r="A30" s="465" t="s">
        <v>302</v>
      </c>
      <c r="B30" s="466" t="s">
        <v>303</v>
      </c>
      <c r="C30" s="638" t="s">
        <v>298</v>
      </c>
      <c r="D30" s="466" t="s">
        <v>303</v>
      </c>
      <c r="E30" s="638" t="s">
        <v>313</v>
      </c>
      <c r="F30" s="466" t="s">
        <v>303</v>
      </c>
      <c r="G30" s="638" t="s">
        <v>300</v>
      </c>
    </row>
    <row r="31" spans="1:18" ht="15.75" x14ac:dyDescent="0.25">
      <c r="A31" s="465" t="s">
        <v>303</v>
      </c>
      <c r="B31" s="466" t="s">
        <v>304</v>
      </c>
      <c r="C31" s="638" t="s">
        <v>298</v>
      </c>
      <c r="D31" s="466" t="s">
        <v>304</v>
      </c>
      <c r="E31" s="638" t="s">
        <v>313</v>
      </c>
      <c r="F31" s="466" t="s">
        <v>304</v>
      </c>
      <c r="G31" s="638" t="s">
        <v>294</v>
      </c>
    </row>
    <row r="32" spans="1:18" ht="15.75" x14ac:dyDescent="0.25">
      <c r="A32" s="465" t="s">
        <v>304</v>
      </c>
      <c r="B32" s="466" t="s">
        <v>305</v>
      </c>
      <c r="C32" s="638" t="s">
        <v>298</v>
      </c>
      <c r="D32" s="466" t="s">
        <v>305</v>
      </c>
      <c r="E32" s="638" t="s">
        <v>379</v>
      </c>
      <c r="F32" s="466" t="s">
        <v>305</v>
      </c>
      <c r="G32" s="638" t="s">
        <v>294</v>
      </c>
    </row>
    <row r="33" spans="1:7" ht="15.75" x14ac:dyDescent="0.25">
      <c r="A33" s="465" t="s">
        <v>305</v>
      </c>
      <c r="B33" s="466" t="s">
        <v>306</v>
      </c>
      <c r="C33" s="638" t="s">
        <v>315</v>
      </c>
      <c r="D33" s="466" t="s">
        <v>306</v>
      </c>
      <c r="E33" s="638" t="s">
        <v>313</v>
      </c>
      <c r="F33" s="466" t="s">
        <v>306</v>
      </c>
      <c r="G33" s="638" t="s">
        <v>307</v>
      </c>
    </row>
    <row r="34" spans="1:7" ht="15.75" x14ac:dyDescent="0.25">
      <c r="A34" s="465" t="s">
        <v>306</v>
      </c>
      <c r="B34" s="466" t="s">
        <v>308</v>
      </c>
      <c r="C34" s="638" t="s">
        <v>298</v>
      </c>
      <c r="D34" s="466" t="s">
        <v>308</v>
      </c>
      <c r="E34" s="638" t="s">
        <v>313</v>
      </c>
      <c r="F34" s="466" t="s">
        <v>308</v>
      </c>
      <c r="G34" s="638" t="s">
        <v>294</v>
      </c>
    </row>
    <row r="35" spans="1:7" ht="15.75" x14ac:dyDescent="0.25">
      <c r="A35" s="465" t="s">
        <v>308</v>
      </c>
      <c r="B35" s="466" t="s">
        <v>309</v>
      </c>
      <c r="C35" s="638" t="s">
        <v>298</v>
      </c>
      <c r="D35" s="466" t="s">
        <v>309</v>
      </c>
      <c r="E35" s="638" t="s">
        <v>316</v>
      </c>
      <c r="F35" s="466" t="s">
        <v>309</v>
      </c>
      <c r="G35" s="638" t="s">
        <v>294</v>
      </c>
    </row>
    <row r="36" spans="1:7" ht="15.75" x14ac:dyDescent="0.25">
      <c r="A36" s="468" t="s">
        <v>309</v>
      </c>
      <c r="B36" s="469" t="s">
        <v>311</v>
      </c>
      <c r="C36" s="639" t="s">
        <v>295</v>
      </c>
      <c r="D36" s="469" t="s">
        <v>311</v>
      </c>
      <c r="E36" s="639" t="s">
        <v>313</v>
      </c>
      <c r="F36" s="469" t="s">
        <v>311</v>
      </c>
      <c r="G36" s="639" t="s">
        <v>307</v>
      </c>
    </row>
    <row r="39" spans="1:7" ht="15.75" x14ac:dyDescent="0.25">
      <c r="A39" s="648" t="s">
        <v>289</v>
      </c>
      <c r="B39" s="649"/>
      <c r="C39" s="649"/>
      <c r="D39" s="649"/>
      <c r="E39" s="649"/>
      <c r="F39" s="649"/>
      <c r="G39" s="650"/>
    </row>
    <row r="40" spans="1:7" ht="49.5" customHeight="1" x14ac:dyDescent="0.25">
      <c r="A40" s="646" t="s">
        <v>290</v>
      </c>
      <c r="B40" s="640" t="s">
        <v>234</v>
      </c>
      <c r="C40" s="640"/>
      <c r="D40" s="651" t="s">
        <v>317</v>
      </c>
      <c r="E40" s="651"/>
      <c r="F40" s="651" t="s">
        <v>318</v>
      </c>
      <c r="G40" s="651"/>
    </row>
    <row r="41" spans="1:7" x14ac:dyDescent="0.25">
      <c r="A41" s="647"/>
      <c r="B41" s="646" t="s">
        <v>291</v>
      </c>
      <c r="C41" s="646"/>
      <c r="D41" s="640" t="s">
        <v>291</v>
      </c>
      <c r="E41" s="640"/>
      <c r="F41" s="646" t="s">
        <v>291</v>
      </c>
      <c r="G41" s="646"/>
    </row>
    <row r="42" spans="1:7" ht="15.75" x14ac:dyDescent="0.25">
      <c r="A42" s="462" t="s">
        <v>292</v>
      </c>
      <c r="B42" s="463" t="s">
        <v>293</v>
      </c>
      <c r="C42" s="464" t="s">
        <v>313</v>
      </c>
      <c r="D42" s="463" t="s">
        <v>293</v>
      </c>
      <c r="E42" s="637" t="s">
        <v>294</v>
      </c>
      <c r="F42" s="463" t="s">
        <v>293</v>
      </c>
      <c r="G42" s="464" t="s">
        <v>377</v>
      </c>
    </row>
    <row r="43" spans="1:7" ht="15.75" x14ac:dyDescent="0.25">
      <c r="A43" s="465" t="s">
        <v>293</v>
      </c>
      <c r="B43" s="466" t="s">
        <v>296</v>
      </c>
      <c r="C43" s="467" t="s">
        <v>313</v>
      </c>
      <c r="D43" s="466" t="s">
        <v>296</v>
      </c>
      <c r="E43" s="638" t="s">
        <v>300</v>
      </c>
      <c r="F43" s="466" t="s">
        <v>296</v>
      </c>
      <c r="G43" s="467" t="s">
        <v>377</v>
      </c>
    </row>
    <row r="44" spans="1:7" ht="15.75" x14ac:dyDescent="0.25">
      <c r="A44" s="465" t="s">
        <v>296</v>
      </c>
      <c r="B44" s="466" t="s">
        <v>299</v>
      </c>
      <c r="C44" s="467" t="s">
        <v>314</v>
      </c>
      <c r="D44" s="466" t="s">
        <v>299</v>
      </c>
      <c r="E44" s="638" t="s">
        <v>300</v>
      </c>
      <c r="F44" s="466" t="s">
        <v>299</v>
      </c>
      <c r="G44" s="467" t="s">
        <v>377</v>
      </c>
    </row>
    <row r="45" spans="1:7" ht="15.75" x14ac:dyDescent="0.25">
      <c r="A45" s="465" t="s">
        <v>299</v>
      </c>
      <c r="B45" s="466" t="s">
        <v>301</v>
      </c>
      <c r="C45" s="467" t="s">
        <v>313</v>
      </c>
      <c r="D45" s="466" t="s">
        <v>301</v>
      </c>
      <c r="E45" s="638" t="s">
        <v>307</v>
      </c>
      <c r="F45" s="466" t="s">
        <v>301</v>
      </c>
      <c r="G45" s="467" t="s">
        <v>316</v>
      </c>
    </row>
    <row r="46" spans="1:7" ht="15.75" x14ac:dyDescent="0.25">
      <c r="A46" s="465" t="s">
        <v>301</v>
      </c>
      <c r="B46" s="466" t="s">
        <v>302</v>
      </c>
      <c r="C46" s="467" t="s">
        <v>378</v>
      </c>
      <c r="D46" s="466" t="s">
        <v>302</v>
      </c>
      <c r="E46" s="638" t="s">
        <v>294</v>
      </c>
      <c r="F46" s="466" t="s">
        <v>302</v>
      </c>
      <c r="G46" s="467" t="s">
        <v>378</v>
      </c>
    </row>
    <row r="47" spans="1:7" ht="15.75" x14ac:dyDescent="0.25">
      <c r="A47" s="465" t="s">
        <v>302</v>
      </c>
      <c r="B47" s="466" t="s">
        <v>303</v>
      </c>
      <c r="C47" s="467" t="s">
        <v>313</v>
      </c>
      <c r="D47" s="466" t="s">
        <v>303</v>
      </c>
      <c r="E47" s="638" t="s">
        <v>300</v>
      </c>
      <c r="F47" s="466" t="s">
        <v>303</v>
      </c>
      <c r="G47" s="467" t="s">
        <v>313</v>
      </c>
    </row>
    <row r="48" spans="1:7" ht="15.75" x14ac:dyDescent="0.25">
      <c r="A48" s="465" t="s">
        <v>303</v>
      </c>
      <c r="B48" s="466" t="s">
        <v>304</v>
      </c>
      <c r="C48" s="467" t="s">
        <v>313</v>
      </c>
      <c r="D48" s="466" t="s">
        <v>304</v>
      </c>
      <c r="E48" s="638" t="s">
        <v>294</v>
      </c>
      <c r="F48" s="466" t="s">
        <v>304</v>
      </c>
      <c r="G48" s="467" t="s">
        <v>316</v>
      </c>
    </row>
    <row r="49" spans="1:7" ht="15.75" x14ac:dyDescent="0.25">
      <c r="A49" s="465" t="s">
        <v>304</v>
      </c>
      <c r="B49" s="466" t="s">
        <v>305</v>
      </c>
      <c r="C49" s="467" t="s">
        <v>379</v>
      </c>
      <c r="D49" s="466" t="s">
        <v>305</v>
      </c>
      <c r="E49" s="638" t="s">
        <v>294</v>
      </c>
      <c r="F49" s="466" t="s">
        <v>305</v>
      </c>
      <c r="G49" s="467" t="s">
        <v>316</v>
      </c>
    </row>
    <row r="50" spans="1:7" ht="15.75" x14ac:dyDescent="0.25">
      <c r="A50" s="465" t="s">
        <v>305</v>
      </c>
      <c r="B50" s="466" t="s">
        <v>306</v>
      </c>
      <c r="C50" s="467" t="s">
        <v>313</v>
      </c>
      <c r="D50" s="466" t="s">
        <v>306</v>
      </c>
      <c r="E50" s="638" t="s">
        <v>307</v>
      </c>
      <c r="F50" s="466" t="s">
        <v>306</v>
      </c>
      <c r="G50" s="467" t="s">
        <v>316</v>
      </c>
    </row>
    <row r="51" spans="1:7" ht="15.75" x14ac:dyDescent="0.25">
      <c r="A51" s="465" t="s">
        <v>306</v>
      </c>
      <c r="B51" s="466" t="s">
        <v>308</v>
      </c>
      <c r="C51" s="467" t="s">
        <v>313</v>
      </c>
      <c r="D51" s="466" t="s">
        <v>308</v>
      </c>
      <c r="E51" s="638" t="s">
        <v>294</v>
      </c>
      <c r="F51" s="466" t="s">
        <v>308</v>
      </c>
      <c r="G51" s="467" t="s">
        <v>313</v>
      </c>
    </row>
    <row r="52" spans="1:7" ht="15.75" x14ac:dyDescent="0.25">
      <c r="A52" s="465" t="s">
        <v>308</v>
      </c>
      <c r="B52" s="466" t="s">
        <v>309</v>
      </c>
      <c r="C52" s="467" t="s">
        <v>316</v>
      </c>
      <c r="D52" s="466" t="s">
        <v>309</v>
      </c>
      <c r="E52" s="638" t="s">
        <v>294</v>
      </c>
      <c r="F52" s="466" t="s">
        <v>309</v>
      </c>
      <c r="G52" s="467" t="s">
        <v>316</v>
      </c>
    </row>
    <row r="53" spans="1:7" ht="15.75" x14ac:dyDescent="0.25">
      <c r="A53" s="468" t="s">
        <v>309</v>
      </c>
      <c r="B53" s="469" t="s">
        <v>311</v>
      </c>
      <c r="C53" s="470" t="s">
        <v>313</v>
      </c>
      <c r="D53" s="469" t="s">
        <v>311</v>
      </c>
      <c r="E53" s="639" t="s">
        <v>307</v>
      </c>
      <c r="F53" s="469" t="s">
        <v>311</v>
      </c>
      <c r="G53" s="470" t="s">
        <v>314</v>
      </c>
    </row>
  </sheetData>
  <mergeCells count="24">
    <mergeCell ref="A22:G22"/>
    <mergeCell ref="A23:A24"/>
    <mergeCell ref="B23:C23"/>
    <mergeCell ref="D23:E23"/>
    <mergeCell ref="F23:G23"/>
    <mergeCell ref="B24:C24"/>
    <mergeCell ref="D24:E24"/>
    <mergeCell ref="F24:G24"/>
    <mergeCell ref="A39:G39"/>
    <mergeCell ref="A40:A41"/>
    <mergeCell ref="B40:C40"/>
    <mergeCell ref="D40:E40"/>
    <mergeCell ref="F40:G40"/>
    <mergeCell ref="B41:C41"/>
    <mergeCell ref="D41:E41"/>
    <mergeCell ref="F41:G41"/>
    <mergeCell ref="C7:D7"/>
    <mergeCell ref="E7:F7"/>
    <mergeCell ref="A1:G1"/>
    <mergeCell ref="A2:G2"/>
    <mergeCell ref="B5:F5"/>
    <mergeCell ref="B6:B7"/>
    <mergeCell ref="C6:D6"/>
    <mergeCell ref="E6:F6"/>
  </mergeCells>
  <pageMargins left="0.5" right="0.48" top="0.21" bottom="0.14000000000000001" header="0.26" footer="0.31496062992125984"/>
  <pageSetup scale="83" orientation="portrait" r:id="rId1"/>
  <ignoredErrors>
    <ignoredError sqref="E25:E29 C42:C46 E42 D8:D19 F17:F19 E45:E51 E43:E44 E52:E53 F8:F12 F13:F16 C25:C36 G25:G28 E30:E32 G29:G36 E33:E36 G42:G53 C47:C49 C50:C5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34"/>
  <sheetViews>
    <sheetView zoomScaleNormal="100" workbookViewId="0">
      <selection activeCell="B3" sqref="B3:N3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5.42578125" customWidth="1"/>
    <col min="4" max="4" width="14.140625" customWidth="1"/>
    <col min="5" max="5" width="14.42578125" style="1" customWidth="1"/>
    <col min="6" max="6" width="23.140625" customWidth="1"/>
    <col min="7" max="7" width="15" customWidth="1"/>
    <col min="8" max="8" width="13.28515625" customWidth="1"/>
    <col min="9" max="9" width="16.7109375" customWidth="1"/>
    <col min="10" max="10" width="15.28515625" hidden="1" customWidth="1"/>
    <col min="11" max="11" width="12.42578125" customWidth="1"/>
    <col min="12" max="12" width="12.28515625" customWidth="1"/>
    <col min="13" max="13" width="16.5703125" customWidth="1"/>
    <col min="14" max="14" width="15.28515625" customWidth="1"/>
    <col min="15" max="15" width="18.140625" customWidth="1"/>
    <col min="16" max="16" width="15.28515625" customWidth="1"/>
    <col min="17" max="18" width="0" hidden="1" customWidth="1"/>
    <col min="20" max="20" width="13.140625" bestFit="1" customWidth="1"/>
    <col min="21" max="21" width="13.7109375" bestFit="1" customWidth="1"/>
  </cols>
  <sheetData>
    <row r="1" spans="2:20" x14ac:dyDescent="0.25">
      <c r="N1" s="508"/>
    </row>
    <row r="2" spans="2:20" ht="15.75" thickBot="1" x14ac:dyDescent="0.3"/>
    <row r="3" spans="2:20" s="54" customFormat="1" ht="15.75" thickBot="1" x14ac:dyDescent="0.3">
      <c r="B3" s="791" t="s">
        <v>373</v>
      </c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3"/>
      <c r="O3" s="72"/>
      <c r="P3" s="72"/>
    </row>
    <row r="4" spans="2:20" ht="15" customHeight="1" x14ac:dyDescent="0.25">
      <c r="B4" s="786" t="s">
        <v>325</v>
      </c>
      <c r="C4" s="511"/>
      <c r="D4" s="511"/>
      <c r="E4" s="788" t="s">
        <v>206</v>
      </c>
      <c r="F4" s="789"/>
      <c r="G4" s="788" t="s">
        <v>207</v>
      </c>
      <c r="H4" s="789"/>
      <c r="I4" s="790"/>
      <c r="J4" s="524" t="s">
        <v>88</v>
      </c>
      <c r="K4" s="514" t="s">
        <v>363</v>
      </c>
      <c r="L4" s="514" t="s">
        <v>369</v>
      </c>
      <c r="M4" s="794" t="s">
        <v>370</v>
      </c>
      <c r="N4" s="221" t="s">
        <v>66</v>
      </c>
      <c r="O4" s="72"/>
      <c r="P4" s="72"/>
    </row>
    <row r="5" spans="2:20" x14ac:dyDescent="0.25">
      <c r="B5" s="787"/>
      <c r="C5" s="61" t="s">
        <v>62</v>
      </c>
      <c r="D5" s="61" t="s">
        <v>64</v>
      </c>
      <c r="E5" s="61" t="s">
        <v>164</v>
      </c>
      <c r="F5" s="61" t="s">
        <v>88</v>
      </c>
      <c r="G5" s="61" t="s">
        <v>151</v>
      </c>
      <c r="H5" s="61" t="s">
        <v>101</v>
      </c>
      <c r="I5" s="516" t="s">
        <v>192</v>
      </c>
      <c r="J5" s="523" t="s">
        <v>208</v>
      </c>
      <c r="K5" s="61" t="s">
        <v>364</v>
      </c>
      <c r="L5" s="61" t="s">
        <v>364</v>
      </c>
      <c r="M5" s="795"/>
      <c r="N5" s="222" t="s">
        <v>96</v>
      </c>
      <c r="O5" s="72"/>
      <c r="P5" s="72"/>
    </row>
    <row r="6" spans="2:20" x14ac:dyDescent="0.25">
      <c r="B6" s="787"/>
      <c r="C6" s="61" t="s">
        <v>63</v>
      </c>
      <c r="D6" s="61" t="s">
        <v>65</v>
      </c>
      <c r="E6" s="61" t="s">
        <v>82</v>
      </c>
      <c r="F6" s="61" t="s">
        <v>343</v>
      </c>
      <c r="G6" s="61" t="s">
        <v>209</v>
      </c>
      <c r="H6" s="61" t="s">
        <v>210</v>
      </c>
      <c r="I6" s="516" t="s">
        <v>211</v>
      </c>
      <c r="J6" s="523" t="s">
        <v>97</v>
      </c>
      <c r="K6" s="512" t="s">
        <v>365</v>
      </c>
      <c r="L6" s="608">
        <v>0.3</v>
      </c>
      <c r="M6" s="795"/>
      <c r="N6" s="615" t="s">
        <v>182</v>
      </c>
      <c r="O6" s="197"/>
      <c r="P6" s="200"/>
    </row>
    <row r="7" spans="2:20" x14ac:dyDescent="0.25">
      <c r="B7" s="787"/>
      <c r="C7" s="512">
        <v>2014</v>
      </c>
      <c r="D7" s="512" t="s">
        <v>341</v>
      </c>
      <c r="E7" s="61" t="s">
        <v>212</v>
      </c>
      <c r="F7" s="61" t="s">
        <v>361</v>
      </c>
      <c r="G7" s="515"/>
      <c r="H7" s="515"/>
      <c r="I7" s="516" t="s">
        <v>213</v>
      </c>
      <c r="J7" s="525"/>
      <c r="K7" s="512"/>
      <c r="L7" s="608"/>
      <c r="M7" s="795"/>
      <c r="N7" s="615" t="s">
        <v>218</v>
      </c>
      <c r="O7" s="197"/>
      <c r="P7" s="200"/>
      <c r="Q7" s="199"/>
    </row>
    <row r="8" spans="2:20" ht="15.75" thickBot="1" x14ac:dyDescent="0.3">
      <c r="B8" s="787"/>
      <c r="C8" s="513" t="s">
        <v>4</v>
      </c>
      <c r="D8" s="513" t="s">
        <v>5</v>
      </c>
      <c r="E8" s="513" t="s">
        <v>30</v>
      </c>
      <c r="F8" s="513" t="s">
        <v>217</v>
      </c>
      <c r="G8" s="513" t="s">
        <v>214</v>
      </c>
      <c r="H8" s="513" t="s">
        <v>215</v>
      </c>
      <c r="I8" s="517" t="s">
        <v>344</v>
      </c>
      <c r="J8" s="526" t="s">
        <v>216</v>
      </c>
      <c r="K8" s="513" t="s">
        <v>366</v>
      </c>
      <c r="L8" s="513" t="s">
        <v>366</v>
      </c>
      <c r="M8" s="796"/>
      <c r="N8" s="616"/>
      <c r="O8" s="197"/>
      <c r="P8" s="197"/>
    </row>
    <row r="9" spans="2:20" x14ac:dyDescent="0.25">
      <c r="B9" s="203" t="s">
        <v>6</v>
      </c>
      <c r="C9" s="382">
        <v>3.81</v>
      </c>
      <c r="D9" s="520">
        <f>'[1] fc 2014'!O7</f>
        <v>2891598.5474999999</v>
      </c>
      <c r="E9" s="204">
        <v>3.3707560000000001</v>
      </c>
      <c r="F9" s="581">
        <f>E9*0.7</f>
        <v>2.3595291999999999</v>
      </c>
      <c r="G9" s="204">
        <f>MINVERSE(E9)</f>
        <v>0.29666935251320475</v>
      </c>
      <c r="H9" s="581">
        <f>G9/G$29%</f>
        <v>3.2053144295479905</v>
      </c>
      <c r="I9" s="519">
        <f>H9*0.3</f>
        <v>0.96159432886439711</v>
      </c>
      <c r="J9" s="527">
        <f>F9+I9</f>
        <v>3.3211235288643968</v>
      </c>
      <c r="K9" s="609">
        <f>M9*$K$6</f>
        <v>385450.17795661942</v>
      </c>
      <c r="L9" s="610">
        <f>M9*$L$6</f>
        <v>165192.93340997977</v>
      </c>
      <c r="M9" s="617">
        <f t="shared" ref="M9:M28" si="0">$M$29*J9/100</f>
        <v>550643.11136659922</v>
      </c>
      <c r="N9" s="618">
        <f t="shared" ref="N9:N28" si="1">D9+M9</f>
        <v>3442241.6588665992</v>
      </c>
      <c r="O9" s="561"/>
      <c r="P9" s="561"/>
      <c r="S9" s="325"/>
      <c r="T9" s="562"/>
    </row>
    <row r="10" spans="2:20" x14ac:dyDescent="0.25">
      <c r="B10" s="205" t="s">
        <v>7</v>
      </c>
      <c r="C10" s="383">
        <v>1.63</v>
      </c>
      <c r="D10" s="521">
        <f>'[1] fc 2014'!O8</f>
        <v>1237088.0925</v>
      </c>
      <c r="E10" s="202">
        <v>1.4036219999999999</v>
      </c>
      <c r="F10" s="582">
        <f t="shared" ref="F10:F28" si="2">E10*0.7</f>
        <v>0.98253539999999984</v>
      </c>
      <c r="G10" s="202">
        <f t="shared" ref="G10:G28" si="3">MINVERSE(E10)</f>
        <v>0.71244252369940064</v>
      </c>
      <c r="H10" s="582">
        <f t="shared" ref="H10:H29" si="4">G10/G$29%</f>
        <v>7.6974661591835032</v>
      </c>
      <c r="I10" s="198">
        <f t="shared" ref="I10:I28" si="5">H10*0.3</f>
        <v>2.3092398477550509</v>
      </c>
      <c r="J10" s="528">
        <f>F10+I10+0.000001</f>
        <v>3.2917762477550507</v>
      </c>
      <c r="K10" s="611">
        <f t="shared" ref="K10:K28" si="6">M10*$K$6</f>
        <v>382044.12737529451</v>
      </c>
      <c r="L10" s="612">
        <f t="shared" ref="L10:L28" si="7">M10*$L$6</f>
        <v>163733.19744655481</v>
      </c>
      <c r="M10" s="342">
        <f t="shared" si="0"/>
        <v>545777.32482184935</v>
      </c>
      <c r="N10" s="619">
        <f t="shared" si="1"/>
        <v>1782865.4173218494</v>
      </c>
      <c r="O10" s="561"/>
      <c r="P10" s="561"/>
      <c r="S10" s="325"/>
      <c r="T10" s="562"/>
    </row>
    <row r="11" spans="2:20" x14ac:dyDescent="0.25">
      <c r="B11" s="205" t="s">
        <v>8</v>
      </c>
      <c r="C11" s="383">
        <v>1.32</v>
      </c>
      <c r="D11" s="521">
        <f>'[1] fc 2014'!O9</f>
        <v>1001813.6699999999</v>
      </c>
      <c r="E11" s="202">
        <v>1.031172</v>
      </c>
      <c r="F11" s="582">
        <f t="shared" si="2"/>
        <v>0.72182039999999992</v>
      </c>
      <c r="G11" s="202">
        <f t="shared" si="3"/>
        <v>0.96977031959750659</v>
      </c>
      <c r="H11" s="582">
        <f t="shared" si="4"/>
        <v>10.477721316410324</v>
      </c>
      <c r="I11" s="198">
        <f t="shared" si="5"/>
        <v>3.1433163949230973</v>
      </c>
      <c r="J11" s="528">
        <f t="shared" ref="J11:J29" si="8">F11+I11</f>
        <v>3.8651367949230973</v>
      </c>
      <c r="K11" s="611">
        <f t="shared" si="6"/>
        <v>448588.45281771373</v>
      </c>
      <c r="L11" s="612">
        <f t="shared" si="7"/>
        <v>192252.19406473447</v>
      </c>
      <c r="M11" s="342">
        <f t="shared" si="0"/>
        <v>640840.64688244823</v>
      </c>
      <c r="N11" s="619">
        <f t="shared" si="1"/>
        <v>1642654.3168824483</v>
      </c>
      <c r="O11" s="561"/>
      <c r="P11" s="561"/>
      <c r="S11" s="325"/>
      <c r="T11" s="562"/>
    </row>
    <row r="12" spans="2:20" x14ac:dyDescent="0.25">
      <c r="B12" s="205" t="s">
        <v>9</v>
      </c>
      <c r="C12" s="383">
        <v>7.64</v>
      </c>
      <c r="D12" s="521">
        <f>'[1] fc 2014'!O10</f>
        <v>5798376.0899999999</v>
      </c>
      <c r="E12" s="202">
        <v>11.447687</v>
      </c>
      <c r="F12" s="582">
        <f t="shared" si="2"/>
        <v>8.0133808999999996</v>
      </c>
      <c r="G12" s="202">
        <f t="shared" si="3"/>
        <v>8.7353890790340435E-2</v>
      </c>
      <c r="H12" s="582">
        <f t="shared" si="4"/>
        <v>0.94380051142955468</v>
      </c>
      <c r="I12" s="198">
        <f t="shared" si="5"/>
        <v>0.28314015342886639</v>
      </c>
      <c r="J12" s="528">
        <f t="shared" si="8"/>
        <v>8.2965210534288651</v>
      </c>
      <c r="K12" s="611">
        <f t="shared" si="6"/>
        <v>962895.68535213836</v>
      </c>
      <c r="L12" s="612">
        <f t="shared" si="7"/>
        <v>412669.57943663077</v>
      </c>
      <c r="M12" s="342">
        <f t="shared" si="0"/>
        <v>1375565.2647887692</v>
      </c>
      <c r="N12" s="619">
        <f t="shared" si="1"/>
        <v>7173941.354788769</v>
      </c>
      <c r="O12" s="561"/>
      <c r="P12" s="561"/>
      <c r="S12" s="325"/>
      <c r="T12" s="562"/>
    </row>
    <row r="13" spans="2:20" x14ac:dyDescent="0.25">
      <c r="B13" s="205" t="s">
        <v>10</v>
      </c>
      <c r="C13" s="383">
        <v>6.2</v>
      </c>
      <c r="D13" s="521">
        <f>'[1] fc 2014'!O11</f>
        <v>4705488.4499999993</v>
      </c>
      <c r="E13" s="202">
        <v>6.4885130000000002</v>
      </c>
      <c r="F13" s="582">
        <f t="shared" si="2"/>
        <v>4.5419590999999997</v>
      </c>
      <c r="G13" s="202">
        <f t="shared" si="3"/>
        <v>0.15411851683120617</v>
      </c>
      <c r="H13" s="582">
        <f t="shared" si="4"/>
        <v>1.6651477534660817</v>
      </c>
      <c r="I13" s="198">
        <f t="shared" si="5"/>
        <v>0.49954432603982446</v>
      </c>
      <c r="J13" s="528">
        <f t="shared" si="8"/>
        <v>5.0415034260398244</v>
      </c>
      <c r="K13" s="611">
        <f t="shared" si="6"/>
        <v>585117.7698892816</v>
      </c>
      <c r="L13" s="612">
        <f t="shared" si="7"/>
        <v>250764.75852397783</v>
      </c>
      <c r="M13" s="342">
        <f t="shared" si="0"/>
        <v>835882.52841325942</v>
      </c>
      <c r="N13" s="619">
        <f t="shared" si="1"/>
        <v>5541370.9784132587</v>
      </c>
      <c r="O13" s="561"/>
      <c r="P13" s="561"/>
      <c r="S13" s="325"/>
      <c r="T13" s="562"/>
    </row>
    <row r="14" spans="2:20" x14ac:dyDescent="0.25">
      <c r="B14" s="205" t="s">
        <v>11</v>
      </c>
      <c r="C14" s="383">
        <v>7.23</v>
      </c>
      <c r="D14" s="521">
        <f>'[1] fc 2014'!O12</f>
        <v>5487206.6924999999</v>
      </c>
      <c r="E14" s="202">
        <v>3.1613519999999999</v>
      </c>
      <c r="F14" s="582">
        <f t="shared" si="2"/>
        <v>2.2129463999999999</v>
      </c>
      <c r="G14" s="202">
        <f t="shared" si="3"/>
        <v>0.31632035913748296</v>
      </c>
      <c r="H14" s="582">
        <f t="shared" si="4"/>
        <v>3.4176304458616018</v>
      </c>
      <c r="I14" s="198">
        <f t="shared" si="5"/>
        <v>1.0252891337584804</v>
      </c>
      <c r="J14" s="528">
        <f>F14+I14-0.0000001</f>
        <v>3.2382354337584807</v>
      </c>
      <c r="K14" s="611">
        <f t="shared" si="6"/>
        <v>375830.17113321013</v>
      </c>
      <c r="L14" s="612">
        <f t="shared" si="7"/>
        <v>161070.07334280436</v>
      </c>
      <c r="M14" s="342">
        <f t="shared" si="0"/>
        <v>536900.24447601452</v>
      </c>
      <c r="N14" s="619">
        <f t="shared" si="1"/>
        <v>6024106.9369760146</v>
      </c>
      <c r="O14" s="561"/>
      <c r="P14" s="561"/>
      <c r="S14" s="325"/>
      <c r="T14" s="562"/>
    </row>
    <row r="15" spans="2:20" x14ac:dyDescent="0.25">
      <c r="B15" s="205" t="s">
        <v>12</v>
      </c>
      <c r="C15" s="383">
        <v>2</v>
      </c>
      <c r="D15" s="521">
        <f>'[1] fc 2014'!O13</f>
        <v>1517899.5</v>
      </c>
      <c r="E15" s="202">
        <v>1.0507120000000001</v>
      </c>
      <c r="F15" s="582">
        <f t="shared" si="2"/>
        <v>0.7354984</v>
      </c>
      <c r="G15" s="202">
        <f t="shared" si="3"/>
        <v>0.95173558501282929</v>
      </c>
      <c r="H15" s="582">
        <f t="shared" si="4"/>
        <v>10.282868041181089</v>
      </c>
      <c r="I15" s="198">
        <f t="shared" si="5"/>
        <v>3.0848604123543266</v>
      </c>
      <c r="J15" s="528">
        <f>F15+I15+0.000001</f>
        <v>3.8203598123543268</v>
      </c>
      <c r="K15" s="611">
        <f t="shared" si="6"/>
        <v>443391.62838481023</v>
      </c>
      <c r="L15" s="612">
        <f t="shared" si="7"/>
        <v>190024.98359349012</v>
      </c>
      <c r="M15" s="342">
        <f t="shared" si="0"/>
        <v>633416.61197830038</v>
      </c>
      <c r="N15" s="619">
        <f t="shared" si="1"/>
        <v>2151316.1119783004</v>
      </c>
      <c r="O15" s="561"/>
      <c r="P15" s="561"/>
      <c r="S15" s="325"/>
      <c r="T15" s="562"/>
    </row>
    <row r="16" spans="2:20" x14ac:dyDescent="0.25">
      <c r="B16" s="205" t="s">
        <v>13</v>
      </c>
      <c r="C16" s="383">
        <v>2.67</v>
      </c>
      <c r="D16" s="521">
        <f>'[1] fc 2014'!O14</f>
        <v>2026395.8325</v>
      </c>
      <c r="E16" s="202">
        <v>2.5136889999999998</v>
      </c>
      <c r="F16" s="582">
        <f t="shared" si="2"/>
        <v>1.7595822999999997</v>
      </c>
      <c r="G16" s="202">
        <f t="shared" si="3"/>
        <v>0.39782168756755509</v>
      </c>
      <c r="H16" s="582">
        <f t="shared" si="4"/>
        <v>4.298197925553028</v>
      </c>
      <c r="I16" s="198">
        <f t="shared" si="5"/>
        <v>1.2894593776659085</v>
      </c>
      <c r="J16" s="528">
        <f t="shared" si="8"/>
        <v>3.0490416776659082</v>
      </c>
      <c r="K16" s="611">
        <f t="shared" si="6"/>
        <v>353872.31069219887</v>
      </c>
      <c r="L16" s="612">
        <f t="shared" si="7"/>
        <v>151659.56172522809</v>
      </c>
      <c r="M16" s="342">
        <f t="shared" si="0"/>
        <v>505531.87241742702</v>
      </c>
      <c r="N16" s="619">
        <f t="shared" si="1"/>
        <v>2531927.7049174272</v>
      </c>
      <c r="O16" s="561"/>
      <c r="P16" s="561"/>
      <c r="S16" s="325"/>
      <c r="T16" s="562"/>
    </row>
    <row r="17" spans="2:21" x14ac:dyDescent="0.25">
      <c r="B17" s="205" t="s">
        <v>14</v>
      </c>
      <c r="C17" s="383">
        <v>2.2999999999999998</v>
      </c>
      <c r="D17" s="521">
        <f>'[1] fc 2014'!O15</f>
        <v>1745584.425</v>
      </c>
      <c r="E17" s="202">
        <v>1.631184</v>
      </c>
      <c r="F17" s="582">
        <f t="shared" si="2"/>
        <v>1.1418287999999999</v>
      </c>
      <c r="G17" s="202">
        <f t="shared" si="3"/>
        <v>0.61305162385114131</v>
      </c>
      <c r="H17" s="582">
        <f t="shared" si="4"/>
        <v>6.6236137954304768</v>
      </c>
      <c r="I17" s="198">
        <f t="shared" si="5"/>
        <v>1.9870841386291429</v>
      </c>
      <c r="J17" s="528">
        <f t="shared" si="8"/>
        <v>3.128912938629143</v>
      </c>
      <c r="K17" s="611">
        <f t="shared" si="6"/>
        <v>363142.18321706256</v>
      </c>
      <c r="L17" s="612">
        <f t="shared" si="7"/>
        <v>155632.36423588396</v>
      </c>
      <c r="M17" s="342">
        <f t="shared" si="0"/>
        <v>518774.54745294654</v>
      </c>
      <c r="N17" s="619">
        <f t="shared" si="1"/>
        <v>2264358.9724529465</v>
      </c>
      <c r="O17" s="561"/>
      <c r="P17" s="561"/>
      <c r="S17" s="325"/>
      <c r="T17" s="562"/>
    </row>
    <row r="18" spans="2:21" x14ac:dyDescent="0.25">
      <c r="B18" s="205" t="s">
        <v>15</v>
      </c>
      <c r="C18" s="383">
        <v>2.31</v>
      </c>
      <c r="D18" s="521">
        <f>'[1] fc 2014'!O16</f>
        <v>1753173.9224999999</v>
      </c>
      <c r="E18" s="202">
        <v>1.2534799999999999</v>
      </c>
      <c r="F18" s="582">
        <f t="shared" si="2"/>
        <v>0.87743599999999988</v>
      </c>
      <c r="G18" s="202">
        <f t="shared" si="3"/>
        <v>0.79777898331046371</v>
      </c>
      <c r="H18" s="582">
        <f t="shared" si="4"/>
        <v>8.6194696726596884</v>
      </c>
      <c r="I18" s="198">
        <f t="shared" si="5"/>
        <v>2.5858409017979063</v>
      </c>
      <c r="J18" s="528">
        <f>F18+I18-0.000001</f>
        <v>3.463275901797906</v>
      </c>
      <c r="K18" s="611">
        <f t="shared" si="6"/>
        <v>401948.40723594773</v>
      </c>
      <c r="L18" s="612">
        <f t="shared" si="7"/>
        <v>172263.60310112048</v>
      </c>
      <c r="M18" s="342">
        <f t="shared" si="0"/>
        <v>574212.01033706823</v>
      </c>
      <c r="N18" s="619">
        <f t="shared" si="1"/>
        <v>2327385.9328370681</v>
      </c>
      <c r="O18" s="561"/>
      <c r="P18" s="561"/>
      <c r="S18" s="325"/>
      <c r="T18" s="562"/>
    </row>
    <row r="19" spans="2:21" x14ac:dyDescent="0.25">
      <c r="B19" s="205" t="s">
        <v>16</v>
      </c>
      <c r="C19" s="383">
        <v>5.05</v>
      </c>
      <c r="D19" s="521">
        <f>'[1] fc 2014'!O17</f>
        <v>3832696.2374999993</v>
      </c>
      <c r="E19" s="202">
        <v>3.1699229999999998</v>
      </c>
      <c r="F19" s="582">
        <f t="shared" si="2"/>
        <v>2.2189460999999997</v>
      </c>
      <c r="G19" s="202">
        <f t="shared" si="3"/>
        <v>0.31546507596556761</v>
      </c>
      <c r="H19" s="582">
        <f t="shared" si="4"/>
        <v>3.4083896817952568</v>
      </c>
      <c r="I19" s="198">
        <f t="shared" si="5"/>
        <v>1.0225169045385769</v>
      </c>
      <c r="J19" s="528">
        <f t="shared" si="8"/>
        <v>3.2414630045385766</v>
      </c>
      <c r="K19" s="611">
        <f t="shared" si="6"/>
        <v>376204.76356277301</v>
      </c>
      <c r="L19" s="612">
        <f t="shared" si="7"/>
        <v>161230.61295547415</v>
      </c>
      <c r="M19" s="342">
        <f t="shared" si="0"/>
        <v>537435.37651824718</v>
      </c>
      <c r="N19" s="619">
        <f t="shared" si="1"/>
        <v>4370131.6140182465</v>
      </c>
      <c r="O19" s="561"/>
      <c r="P19" s="561"/>
      <c r="S19" s="325"/>
      <c r="T19" s="562"/>
    </row>
    <row r="20" spans="2:21" x14ac:dyDescent="0.25">
      <c r="B20" s="205" t="s">
        <v>17</v>
      </c>
      <c r="C20" s="383">
        <v>2.58</v>
      </c>
      <c r="D20" s="521">
        <f>'[1] fc 2014'!O18</f>
        <v>1958090.3549999997</v>
      </c>
      <c r="E20" s="202">
        <v>2.1630829999999999</v>
      </c>
      <c r="F20" s="582">
        <f t="shared" si="2"/>
        <v>1.5141580999999997</v>
      </c>
      <c r="G20" s="202">
        <f t="shared" si="3"/>
        <v>0.4623031108838635</v>
      </c>
      <c r="H20" s="582">
        <f t="shared" si="4"/>
        <v>4.9948766854001754</v>
      </c>
      <c r="I20" s="198">
        <f t="shared" si="5"/>
        <v>1.4984630056200525</v>
      </c>
      <c r="J20" s="528">
        <f t="shared" si="8"/>
        <v>3.0126211056200525</v>
      </c>
      <c r="K20" s="611">
        <f t="shared" si="6"/>
        <v>349645.33272695675</v>
      </c>
      <c r="L20" s="612">
        <f t="shared" si="7"/>
        <v>149847.99974012433</v>
      </c>
      <c r="M20" s="342">
        <f t="shared" si="0"/>
        <v>499493.33246708108</v>
      </c>
      <c r="N20" s="619">
        <f t="shared" si="1"/>
        <v>2457583.687467081</v>
      </c>
      <c r="O20" s="561"/>
      <c r="P20" s="561"/>
      <c r="S20" s="325"/>
      <c r="T20" s="562"/>
    </row>
    <row r="21" spans="2:21" x14ac:dyDescent="0.25">
      <c r="B21" s="205" t="s">
        <v>18</v>
      </c>
      <c r="C21" s="383">
        <v>3.39</v>
      </c>
      <c r="D21" s="521">
        <f>'[1] fc 2014'!O19</f>
        <v>2572839.6525000003</v>
      </c>
      <c r="E21" s="202">
        <v>3.9742700000000002</v>
      </c>
      <c r="F21" s="582">
        <f t="shared" si="2"/>
        <v>2.7819889999999998</v>
      </c>
      <c r="G21" s="202">
        <f t="shared" si="3"/>
        <v>0.25161853623432728</v>
      </c>
      <c r="H21" s="582">
        <f t="shared" si="4"/>
        <v>2.7185704155191934</v>
      </c>
      <c r="I21" s="198">
        <f t="shared" si="5"/>
        <v>0.81557112465575798</v>
      </c>
      <c r="J21" s="528">
        <f t="shared" si="8"/>
        <v>3.5975601246557578</v>
      </c>
      <c r="K21" s="611">
        <f t="shared" si="6"/>
        <v>417533.45764056902</v>
      </c>
      <c r="L21" s="612">
        <f t="shared" si="7"/>
        <v>178942.91041738671</v>
      </c>
      <c r="M21" s="342">
        <f t="shared" si="0"/>
        <v>596476.36805795575</v>
      </c>
      <c r="N21" s="619">
        <f t="shared" si="1"/>
        <v>3169316.0205579558</v>
      </c>
      <c r="O21" s="561"/>
      <c r="P21" s="561"/>
      <c r="S21" s="325"/>
      <c r="T21" s="562"/>
    </row>
    <row r="22" spans="2:21" x14ac:dyDescent="0.25">
      <c r="B22" s="205" t="s">
        <v>19</v>
      </c>
      <c r="C22" s="383">
        <v>0.82</v>
      </c>
      <c r="D22" s="521">
        <f>'[1] fc 2014'!O20</f>
        <v>622338.79499999993</v>
      </c>
      <c r="E22" s="202">
        <v>0.69217899999999999</v>
      </c>
      <c r="F22" s="582">
        <f t="shared" si="2"/>
        <v>0.48452529999999994</v>
      </c>
      <c r="G22" s="202">
        <f t="shared" si="3"/>
        <v>1.444713000538878</v>
      </c>
      <c r="H22" s="582">
        <f t="shared" si="4"/>
        <v>15.609160123733117</v>
      </c>
      <c r="I22" s="198">
        <f t="shared" si="5"/>
        <v>4.6827480371199348</v>
      </c>
      <c r="J22" s="528">
        <f>F22+I22-0.000001</f>
        <v>5.1672723371199343</v>
      </c>
      <c r="K22" s="611">
        <f t="shared" si="6"/>
        <v>599714.53171879856</v>
      </c>
      <c r="L22" s="612">
        <f t="shared" si="7"/>
        <v>257020.51359377083</v>
      </c>
      <c r="M22" s="342">
        <f t="shared" si="0"/>
        <v>856735.04531256948</v>
      </c>
      <c r="N22" s="619">
        <f t="shared" si="1"/>
        <v>1479073.8403125694</v>
      </c>
      <c r="O22" s="561"/>
      <c r="P22" s="561"/>
      <c r="S22" s="325"/>
      <c r="T22" s="562"/>
    </row>
    <row r="23" spans="2:21" x14ac:dyDescent="0.25">
      <c r="B23" s="205" t="s">
        <v>20</v>
      </c>
      <c r="C23" s="383">
        <v>2.27</v>
      </c>
      <c r="D23" s="521">
        <f>'[1] fc 2014'!O21</f>
        <v>1722815.9325000003</v>
      </c>
      <c r="E23" s="202">
        <v>2.0656620000000001</v>
      </c>
      <c r="F23" s="582">
        <f t="shared" si="2"/>
        <v>1.4459633999999999</v>
      </c>
      <c r="G23" s="202">
        <f t="shared" si="3"/>
        <v>0.484106305871919</v>
      </c>
      <c r="H23" s="582">
        <f t="shared" si="4"/>
        <v>5.2304456611417862</v>
      </c>
      <c r="I23" s="198">
        <f t="shared" si="5"/>
        <v>1.5691336983425359</v>
      </c>
      <c r="J23" s="528">
        <f t="shared" si="8"/>
        <v>3.0150970983425358</v>
      </c>
      <c r="K23" s="611">
        <f t="shared" si="6"/>
        <v>349932.69687562692</v>
      </c>
      <c r="L23" s="612">
        <f t="shared" si="7"/>
        <v>149971.15580384011</v>
      </c>
      <c r="M23" s="342">
        <f t="shared" si="0"/>
        <v>499903.85267946706</v>
      </c>
      <c r="N23" s="619">
        <f t="shared" si="1"/>
        <v>2222719.7851794674</v>
      </c>
      <c r="O23" s="561"/>
      <c r="P23" s="561"/>
      <c r="S23" s="325"/>
      <c r="T23" s="562"/>
    </row>
    <row r="24" spans="2:21" x14ac:dyDescent="0.25">
      <c r="B24" s="205" t="s">
        <v>27</v>
      </c>
      <c r="C24" s="383">
        <v>8.59</v>
      </c>
      <c r="D24" s="521">
        <f>'[1] fc 2014'!O22</f>
        <v>6519378.3525</v>
      </c>
      <c r="E24" s="202">
        <v>8.5784149999999997</v>
      </c>
      <c r="F24" s="582">
        <f t="shared" si="2"/>
        <v>6.0048904999999992</v>
      </c>
      <c r="G24" s="202">
        <f t="shared" si="3"/>
        <v>0.11657165105675116</v>
      </c>
      <c r="H24" s="582">
        <f t="shared" si="4"/>
        <v>1.2594789183416126</v>
      </c>
      <c r="I24" s="198">
        <f t="shared" si="5"/>
        <v>0.37784367550248377</v>
      </c>
      <c r="J24" s="528">
        <f t="shared" si="8"/>
        <v>6.3827341755024829</v>
      </c>
      <c r="K24" s="611">
        <f t="shared" si="6"/>
        <v>740781.24538729887</v>
      </c>
      <c r="L24" s="612">
        <f t="shared" si="7"/>
        <v>317477.67659455666</v>
      </c>
      <c r="M24" s="342">
        <f t="shared" si="0"/>
        <v>1058258.9219818555</v>
      </c>
      <c r="N24" s="619">
        <f t="shared" si="1"/>
        <v>7577637.2744818553</v>
      </c>
      <c r="O24" s="561"/>
      <c r="P24" s="561"/>
      <c r="S24" s="325"/>
      <c r="T24" s="562"/>
    </row>
    <row r="25" spans="2:21" x14ac:dyDescent="0.25">
      <c r="B25" s="205" t="s">
        <v>21</v>
      </c>
      <c r="C25" s="383">
        <v>4.55</v>
      </c>
      <c r="D25" s="521">
        <f>'[1] fc 2014'!O23</f>
        <v>3453221.3624999993</v>
      </c>
      <c r="E25" s="202">
        <v>3.664218</v>
      </c>
      <c r="F25" s="582">
        <f t="shared" si="2"/>
        <v>2.5649525999999998</v>
      </c>
      <c r="G25" s="202">
        <f t="shared" si="3"/>
        <v>0.27290952667117513</v>
      </c>
      <c r="H25" s="582">
        <f t="shared" si="4"/>
        <v>2.9486053628046873</v>
      </c>
      <c r="I25" s="198">
        <f t="shared" si="5"/>
        <v>0.88458160884140613</v>
      </c>
      <c r="J25" s="528">
        <f t="shared" si="8"/>
        <v>3.4495342088414058</v>
      </c>
      <c r="K25" s="611">
        <f t="shared" si="6"/>
        <v>400353.54394662008</v>
      </c>
      <c r="L25" s="612">
        <f t="shared" si="7"/>
        <v>171580.09026283718</v>
      </c>
      <c r="M25" s="342">
        <f t="shared" si="0"/>
        <v>571933.63420945732</v>
      </c>
      <c r="N25" s="619">
        <f t="shared" si="1"/>
        <v>4025154.9967094567</v>
      </c>
      <c r="O25" s="561"/>
      <c r="P25" s="561"/>
      <c r="S25" s="325"/>
      <c r="T25" s="562"/>
    </row>
    <row r="26" spans="2:21" x14ac:dyDescent="0.25">
      <c r="B26" s="205" t="s">
        <v>22</v>
      </c>
      <c r="C26" s="383">
        <v>29.02</v>
      </c>
      <c r="D26" s="521">
        <f>'[1] fc 2014'!O24</f>
        <v>22024721.744999997</v>
      </c>
      <c r="E26" s="202">
        <v>35.046669000000001</v>
      </c>
      <c r="F26" s="582">
        <f t="shared" si="2"/>
        <v>24.532668300000001</v>
      </c>
      <c r="G26" s="202">
        <f t="shared" si="3"/>
        <v>2.8533382159656884E-2</v>
      </c>
      <c r="H26" s="582">
        <f t="shared" si="4"/>
        <v>0.30828415805466319</v>
      </c>
      <c r="I26" s="198">
        <f t="shared" si="5"/>
        <v>9.248524741639895E-2</v>
      </c>
      <c r="J26" s="528">
        <f t="shared" si="8"/>
        <v>24.625153547416399</v>
      </c>
      <c r="K26" s="611">
        <f t="shared" si="6"/>
        <v>2857999.6301150182</v>
      </c>
      <c r="L26" s="612">
        <f t="shared" si="7"/>
        <v>1224856.9843350078</v>
      </c>
      <c r="M26" s="342">
        <f t="shared" si="0"/>
        <v>4082856.6144500263</v>
      </c>
      <c r="N26" s="619">
        <f t="shared" si="1"/>
        <v>26107578.359450024</v>
      </c>
      <c r="O26" s="561"/>
      <c r="P26" s="561"/>
      <c r="S26" s="325"/>
      <c r="T26" s="562"/>
    </row>
    <row r="27" spans="2:21" x14ac:dyDescent="0.25">
      <c r="B27" s="205" t="s">
        <v>23</v>
      </c>
      <c r="C27" s="383">
        <v>2.73</v>
      </c>
      <c r="D27" s="521">
        <f>'[1] fc 2014'!O25</f>
        <v>2071932.8175000001</v>
      </c>
      <c r="E27" s="202">
        <v>2.7677960000000001</v>
      </c>
      <c r="F27" s="582">
        <f t="shared" si="2"/>
        <v>1.9374571999999999</v>
      </c>
      <c r="G27" s="202">
        <f t="shared" si="3"/>
        <v>0.3612983037767234</v>
      </c>
      <c r="H27" s="582">
        <f t="shared" si="4"/>
        <v>3.9035871304407785</v>
      </c>
      <c r="I27" s="198">
        <f t="shared" si="5"/>
        <v>1.1710761391322335</v>
      </c>
      <c r="J27" s="528">
        <f t="shared" si="8"/>
        <v>3.1085333391322334</v>
      </c>
      <c r="K27" s="611">
        <f t="shared" si="6"/>
        <v>360776.92333302135</v>
      </c>
      <c r="L27" s="612">
        <f t="shared" si="7"/>
        <v>154618.68142843773</v>
      </c>
      <c r="M27" s="342">
        <f t="shared" si="0"/>
        <v>515395.60476145911</v>
      </c>
      <c r="N27" s="619">
        <f t="shared" si="1"/>
        <v>2587328.4222614593</v>
      </c>
      <c r="O27" s="561"/>
      <c r="P27" s="561"/>
      <c r="S27" s="325"/>
      <c r="T27" s="562"/>
    </row>
    <row r="28" spans="2:21" ht="15.75" thickBot="1" x14ac:dyDescent="0.3">
      <c r="B28" s="205" t="s">
        <v>24</v>
      </c>
      <c r="C28" s="383">
        <v>3.89</v>
      </c>
      <c r="D28" s="522">
        <f>'[1] fc 2014'!O26</f>
        <v>2952314.5274999999</v>
      </c>
      <c r="E28" s="202">
        <v>4.5256179999999997</v>
      </c>
      <c r="F28" s="583">
        <f t="shared" si="2"/>
        <v>3.1679325999999994</v>
      </c>
      <c r="G28" s="202">
        <f t="shared" si="3"/>
        <v>0.22096429703081438</v>
      </c>
      <c r="H28" s="583">
        <f t="shared" si="4"/>
        <v>2.3873718120454415</v>
      </c>
      <c r="I28" s="198">
        <f t="shared" si="5"/>
        <v>0.71621154361363237</v>
      </c>
      <c r="J28" s="529">
        <f t="shared" si="8"/>
        <v>3.8841441436136317</v>
      </c>
      <c r="K28" s="613">
        <f t="shared" si="6"/>
        <v>450794.44903302315</v>
      </c>
      <c r="L28" s="614">
        <f t="shared" si="7"/>
        <v>193197.6210141528</v>
      </c>
      <c r="M28" s="620">
        <f t="shared" si="0"/>
        <v>643992.07004717598</v>
      </c>
      <c r="N28" s="621">
        <f t="shared" si="1"/>
        <v>3596306.5975471758</v>
      </c>
      <c r="O28" s="561"/>
      <c r="P28" s="561"/>
      <c r="S28" s="325"/>
      <c r="T28" s="562"/>
    </row>
    <row r="29" spans="2:21" ht="15.75" thickBot="1" x14ac:dyDescent="0.3">
      <c r="B29" s="207" t="s">
        <v>25</v>
      </c>
      <c r="C29" s="208">
        <f>SUM(C9:C28)</f>
        <v>100</v>
      </c>
      <c r="D29" s="518">
        <f>SUM(D9:D28)</f>
        <v>75894975</v>
      </c>
      <c r="E29" s="209">
        <f t="shared" ref="E29" si="9">SUM(E9:E28)</f>
        <v>100</v>
      </c>
      <c r="F29" s="584">
        <f>SUM(F9:F28)</f>
        <v>70</v>
      </c>
      <c r="G29" s="210">
        <f>SUM(G9:G28)</f>
        <v>9.2555460325008028</v>
      </c>
      <c r="H29" s="584">
        <f t="shared" si="4"/>
        <v>100</v>
      </c>
      <c r="I29" s="211">
        <f>SUM(I9:I28)</f>
        <v>30.000000000000011</v>
      </c>
      <c r="J29" s="530">
        <f t="shared" si="8"/>
        <v>100.00000000000001</v>
      </c>
      <c r="K29" s="623">
        <f>SUM(K9:K28)</f>
        <v>11606017.488393983</v>
      </c>
      <c r="L29" s="622">
        <f>SUM(L9:L28)</f>
        <v>4974007.4950259943</v>
      </c>
      <c r="M29" s="622">
        <f>Datos!K40*22.5%</f>
        <v>16580025</v>
      </c>
      <c r="N29" s="622">
        <f>SUM(N9:N28)</f>
        <v>92474999.98341997</v>
      </c>
      <c r="O29" s="561"/>
      <c r="P29" s="561"/>
      <c r="Q29" s="561"/>
      <c r="R29" s="561"/>
      <c r="S29" s="561"/>
      <c r="T29" s="561"/>
    </row>
    <row r="30" spans="2:21" x14ac:dyDescent="0.25">
      <c r="B30" s="2" t="s">
        <v>26</v>
      </c>
      <c r="D30" s="324"/>
      <c r="J30" s="293"/>
      <c r="K30" s="293"/>
      <c r="L30" s="293"/>
      <c r="U30" s="82"/>
    </row>
    <row r="31" spans="2:21" x14ac:dyDescent="0.25">
      <c r="U31" s="82"/>
    </row>
    <row r="32" spans="2:21" x14ac:dyDescent="0.25">
      <c r="U32" s="82"/>
    </row>
    <row r="33" spans="15:21" x14ac:dyDescent="0.25">
      <c r="U33" s="82"/>
    </row>
    <row r="34" spans="15:21" x14ac:dyDescent="0.25">
      <c r="O34" s="91"/>
      <c r="U34" s="82"/>
    </row>
  </sheetData>
  <mergeCells count="5">
    <mergeCell ref="B4:B8"/>
    <mergeCell ref="E4:F4"/>
    <mergeCell ref="G4:I4"/>
    <mergeCell ref="B3:N3"/>
    <mergeCell ref="M4:M8"/>
  </mergeCells>
  <pageMargins left="0.3" right="0.70866141732283472" top="0.74803149606299213" bottom="0.74803149606299213" header="0.31496062992125984" footer="0.31496062992125984"/>
  <pageSetup scale="65" orientation="landscape" r:id="rId1"/>
  <ignoredErrors>
    <ignoredError sqref="D8 C8 E8 K6" numberStoredAsText="1"/>
    <ignoredError sqref="J18 J10 J22 H29 M2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W31"/>
  <sheetViews>
    <sheetView workbookViewId="0">
      <selection activeCell="B3" sqref="B3:L3"/>
    </sheetView>
  </sheetViews>
  <sheetFormatPr baseColWidth="10" defaultRowHeight="15" x14ac:dyDescent="0.25"/>
  <cols>
    <col min="1" max="1" width="3.5703125" customWidth="1"/>
    <col min="2" max="2" width="20.42578125" customWidth="1"/>
    <col min="3" max="4" width="15.28515625" customWidth="1"/>
    <col min="5" max="5" width="14.7109375" customWidth="1"/>
    <col min="6" max="6" width="13.5703125" customWidth="1"/>
    <col min="7" max="7" width="13" customWidth="1"/>
    <col min="8" max="8" width="14.7109375" customWidth="1"/>
    <col min="9" max="9" width="12.7109375" customWidth="1"/>
    <col min="10" max="10" width="13.85546875" customWidth="1"/>
    <col min="11" max="11" width="14.140625" customWidth="1"/>
    <col min="12" max="12" width="13.85546875" customWidth="1"/>
    <col min="13" max="13" width="16.5703125" customWidth="1"/>
    <col min="14" max="14" width="14.85546875" customWidth="1"/>
    <col min="15" max="16" width="15.42578125" style="1" customWidth="1"/>
    <col min="17" max="17" width="15.85546875" customWidth="1"/>
    <col min="18" max="18" width="14.7109375" customWidth="1"/>
    <col min="19" max="19" width="15.140625" customWidth="1"/>
  </cols>
  <sheetData>
    <row r="1" spans="2:23" x14ac:dyDescent="0.25">
      <c r="L1" s="508"/>
    </row>
    <row r="2" spans="2:23" ht="15.75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Q2" s="101"/>
    </row>
    <row r="3" spans="2:23" ht="15.75" thickBot="1" x14ac:dyDescent="0.3">
      <c r="B3" s="778" t="s">
        <v>374</v>
      </c>
      <c r="C3" s="779"/>
      <c r="D3" s="779"/>
      <c r="E3" s="779"/>
      <c r="F3" s="779"/>
      <c r="G3" s="779"/>
      <c r="H3" s="779"/>
      <c r="I3" s="779"/>
      <c r="J3" s="779"/>
      <c r="K3" s="779"/>
      <c r="L3" s="780"/>
      <c r="M3" s="2"/>
      <c r="N3" s="2"/>
      <c r="O3" s="3"/>
      <c r="P3" s="3"/>
    </row>
    <row r="4" spans="2:23" ht="15" customHeight="1" x14ac:dyDescent="0.25">
      <c r="B4" s="673" t="s">
        <v>325</v>
      </c>
      <c r="C4" s="797" t="s">
        <v>168</v>
      </c>
      <c r="D4" s="798"/>
      <c r="E4" s="797" t="s">
        <v>169</v>
      </c>
      <c r="F4" s="798"/>
      <c r="G4" s="684" t="s">
        <v>102</v>
      </c>
      <c r="H4" s="801"/>
      <c r="I4" s="801"/>
      <c r="J4" s="686"/>
      <c r="K4" s="146" t="s">
        <v>172</v>
      </c>
      <c r="L4" s="137" t="s">
        <v>63</v>
      </c>
      <c r="M4" s="160"/>
      <c r="N4" s="160"/>
      <c r="O4" s="103"/>
      <c r="P4" s="103"/>
      <c r="Q4" s="103"/>
      <c r="R4" s="103"/>
      <c r="S4" s="72"/>
      <c r="T4" s="72"/>
      <c r="U4" s="91"/>
      <c r="V4" s="91"/>
      <c r="W4" s="91"/>
    </row>
    <row r="5" spans="2:23" x14ac:dyDescent="0.25">
      <c r="B5" s="674"/>
      <c r="C5" s="218" t="s">
        <v>82</v>
      </c>
      <c r="D5" s="802" t="s">
        <v>174</v>
      </c>
      <c r="E5" s="218" t="s">
        <v>219</v>
      </c>
      <c r="F5" s="802" t="s">
        <v>174</v>
      </c>
      <c r="G5" s="214"/>
      <c r="H5" s="212" t="s">
        <v>103</v>
      </c>
      <c r="I5" s="558"/>
      <c r="J5" s="229" t="s">
        <v>174</v>
      </c>
      <c r="K5" s="233" t="s">
        <v>173</v>
      </c>
      <c r="L5" s="138" t="s">
        <v>240</v>
      </c>
      <c r="M5" s="160"/>
      <c r="N5" s="160"/>
      <c r="O5" s="103"/>
      <c r="P5" s="103"/>
      <c r="Q5" s="103"/>
      <c r="R5" s="103"/>
      <c r="S5" s="72"/>
      <c r="T5" s="72"/>
      <c r="U5" s="91"/>
      <c r="V5" s="91"/>
      <c r="W5" s="91"/>
    </row>
    <row r="6" spans="2:23" x14ac:dyDescent="0.25">
      <c r="B6" s="674"/>
      <c r="C6" s="218" t="s">
        <v>220</v>
      </c>
      <c r="D6" s="802"/>
      <c r="E6" s="218" t="s">
        <v>371</v>
      </c>
      <c r="F6" s="802"/>
      <c r="G6" s="214"/>
      <c r="H6" s="212"/>
      <c r="I6" s="558"/>
      <c r="J6" s="229"/>
      <c r="K6" s="233"/>
      <c r="L6" s="138"/>
      <c r="M6" s="104"/>
      <c r="N6" s="104"/>
      <c r="O6" s="105"/>
      <c r="P6" s="105"/>
      <c r="Q6" s="105"/>
      <c r="R6" s="105"/>
      <c r="S6" s="72"/>
      <c r="T6" s="72"/>
      <c r="U6" s="91"/>
      <c r="V6" s="91"/>
      <c r="W6" s="91"/>
    </row>
    <row r="7" spans="2:23" x14ac:dyDescent="0.25">
      <c r="B7" s="674"/>
      <c r="C7" s="799">
        <v>0.6</v>
      </c>
      <c r="D7" s="800"/>
      <c r="E7" s="799">
        <v>0.3</v>
      </c>
      <c r="F7" s="800"/>
      <c r="G7" s="230">
        <v>1</v>
      </c>
      <c r="H7" s="89"/>
      <c r="I7" s="559">
        <v>0.1</v>
      </c>
      <c r="J7" s="231"/>
      <c r="K7" s="233" t="s">
        <v>175</v>
      </c>
      <c r="L7" s="139"/>
      <c r="M7" s="103"/>
      <c r="N7" s="103"/>
      <c r="O7" s="103"/>
      <c r="P7" s="103"/>
      <c r="Q7" s="103"/>
      <c r="R7" s="103"/>
      <c r="S7" s="72"/>
      <c r="T7" s="72"/>
      <c r="U7" s="91"/>
      <c r="V7" s="91"/>
      <c r="W7" s="91"/>
    </row>
    <row r="8" spans="2:23" ht="15.75" thickBot="1" x14ac:dyDescent="0.3">
      <c r="B8" s="675"/>
      <c r="C8" s="236">
        <v>1</v>
      </c>
      <c r="D8" s="235" t="s">
        <v>177</v>
      </c>
      <c r="E8" s="236">
        <v>3</v>
      </c>
      <c r="F8" s="235" t="s">
        <v>179</v>
      </c>
      <c r="G8" s="215" t="s">
        <v>104</v>
      </c>
      <c r="H8" s="237" t="s">
        <v>186</v>
      </c>
      <c r="I8" s="560" t="s">
        <v>362</v>
      </c>
      <c r="J8" s="238" t="s">
        <v>187</v>
      </c>
      <c r="K8" s="147" t="s">
        <v>351</v>
      </c>
      <c r="L8" s="140" t="s">
        <v>221</v>
      </c>
      <c r="M8" s="84"/>
      <c r="N8" s="84"/>
      <c r="O8" s="84"/>
      <c r="P8" s="84"/>
      <c r="Q8" s="84"/>
      <c r="R8" s="103"/>
      <c r="S8" s="84"/>
      <c r="T8" s="84"/>
      <c r="U8" s="91"/>
      <c r="V8" s="91"/>
      <c r="W8" s="91"/>
    </row>
    <row r="9" spans="2:23" x14ac:dyDescent="0.25">
      <c r="B9" s="10" t="s">
        <v>6</v>
      </c>
      <c r="C9" s="219">
        <v>3.3707564846877225</v>
      </c>
      <c r="D9" s="217">
        <f>C9*60%</f>
        <v>2.0224538908126335</v>
      </c>
      <c r="E9" s="219">
        <f>'FGP TOTAL'!J10</f>
        <v>3.8848419068517934</v>
      </c>
      <c r="F9" s="217">
        <f t="shared" ref="F9:F28" si="0">E9*30%</f>
        <v>1.165452572055538</v>
      </c>
      <c r="G9" s="216">
        <f>D9+F9</f>
        <v>3.1879064628681713</v>
      </c>
      <c r="H9" s="115">
        <f>1/G9</f>
        <v>0.31368548972428012</v>
      </c>
      <c r="I9" s="115">
        <f t="shared" ref="I9:I28" si="1">H9/$H$29*100</f>
        <v>4.6150181798460652</v>
      </c>
      <c r="J9" s="232">
        <f>I9*10%</f>
        <v>0.46150181798460654</v>
      </c>
      <c r="K9" s="346">
        <f t="shared" ref="K9:K28" si="2">D9+F9+J9</f>
        <v>3.6494082808527777</v>
      </c>
      <c r="L9" s="234">
        <f>Datos!K$58*K9%*22.5%</f>
        <v>218224.16420203182</v>
      </c>
      <c r="M9" s="29"/>
      <c r="N9" s="31"/>
      <c r="O9" s="31"/>
      <c r="P9" s="31"/>
      <c r="Q9" s="31"/>
      <c r="R9" s="31"/>
      <c r="S9" s="74"/>
      <c r="T9" s="92"/>
      <c r="U9" s="93"/>
      <c r="V9" s="91"/>
      <c r="W9" s="91"/>
    </row>
    <row r="10" spans="2:23" x14ac:dyDescent="0.25">
      <c r="B10" s="10" t="s">
        <v>7</v>
      </c>
      <c r="C10" s="219">
        <v>1.4036216369164749</v>
      </c>
      <c r="D10" s="217">
        <f t="shared" ref="D10:D28" si="3">C10*60%</f>
        <v>0.8421729821498849</v>
      </c>
      <c r="E10" s="219">
        <f>'FGP TOTAL'!J11</f>
        <v>4.5114137972574149</v>
      </c>
      <c r="F10" s="217">
        <f t="shared" si="0"/>
        <v>1.3534241391772244</v>
      </c>
      <c r="G10" s="216">
        <f t="shared" ref="G10:G28" si="4">D10+F10</f>
        <v>2.1955971213271095</v>
      </c>
      <c r="H10" s="115">
        <f t="shared" ref="H10:H28" si="5">1/G10</f>
        <v>0.45545696443414846</v>
      </c>
      <c r="I10" s="115">
        <f t="shared" si="1"/>
        <v>6.7007950315095544</v>
      </c>
      <c r="J10" s="232">
        <f t="shared" ref="J10:J28" si="6">I10*10%</f>
        <v>0.67007950315095544</v>
      </c>
      <c r="K10" s="346">
        <f t="shared" si="2"/>
        <v>2.8656766244780649</v>
      </c>
      <c r="L10" s="234">
        <f>Datos!K$58*K10%*22.5%</f>
        <v>171359.25556235493</v>
      </c>
      <c r="M10" s="29"/>
      <c r="N10" s="12"/>
      <c r="O10" s="31"/>
      <c r="P10" s="31"/>
      <c r="Q10" s="13"/>
      <c r="R10" s="31"/>
      <c r="S10" s="74"/>
      <c r="T10" s="92"/>
      <c r="U10" s="93"/>
      <c r="V10" s="91"/>
      <c r="W10" s="91"/>
    </row>
    <row r="11" spans="2:23" x14ac:dyDescent="0.25">
      <c r="B11" s="10" t="s">
        <v>8</v>
      </c>
      <c r="C11" s="219">
        <v>1.0311720319010782</v>
      </c>
      <c r="D11" s="217">
        <f t="shared" si="3"/>
        <v>0.61870321914064685</v>
      </c>
      <c r="E11" s="219">
        <f>'FGP TOTAL'!J12</f>
        <v>4.8347781445821196</v>
      </c>
      <c r="F11" s="217">
        <f t="shared" si="0"/>
        <v>1.4504334433746358</v>
      </c>
      <c r="G11" s="216">
        <f t="shared" si="4"/>
        <v>2.0691366625152825</v>
      </c>
      <c r="H11" s="115">
        <f t="shared" si="5"/>
        <v>0.48329335520273498</v>
      </c>
      <c r="I11" s="115">
        <f t="shared" si="1"/>
        <v>7.1103308680930164</v>
      </c>
      <c r="J11" s="232">
        <f t="shared" si="6"/>
        <v>0.71103308680930166</v>
      </c>
      <c r="K11" s="346">
        <f t="shared" si="2"/>
        <v>2.780169749324584</v>
      </c>
      <c r="L11" s="234">
        <f>Datos!K$58*K11%*22.5%</f>
        <v>166246.1892984905</v>
      </c>
      <c r="M11" s="29"/>
      <c r="N11" s="31"/>
      <c r="O11" s="31"/>
      <c r="P11" s="31"/>
      <c r="Q11" s="13"/>
      <c r="R11" s="31"/>
      <c r="S11" s="74"/>
      <c r="T11" s="92"/>
      <c r="U11" s="93"/>
      <c r="V11" s="91"/>
      <c r="W11" s="91"/>
    </row>
    <row r="12" spans="2:23" x14ac:dyDescent="0.25">
      <c r="B12" s="10" t="s">
        <v>9</v>
      </c>
      <c r="C12" s="219">
        <v>11.447687005923617</v>
      </c>
      <c r="D12" s="217">
        <f t="shared" si="3"/>
        <v>6.8686122035541706</v>
      </c>
      <c r="E12" s="219">
        <f>'FGP TOTAL'!J13</f>
        <v>5.2250088975614357</v>
      </c>
      <c r="F12" s="217">
        <f t="shared" si="0"/>
        <v>1.5675026692684306</v>
      </c>
      <c r="G12" s="216">
        <f t="shared" si="4"/>
        <v>8.4361148728226016</v>
      </c>
      <c r="H12" s="115">
        <f t="shared" si="5"/>
        <v>0.11853797809481635</v>
      </c>
      <c r="I12" s="115">
        <f t="shared" si="1"/>
        <v>1.7439599274758182</v>
      </c>
      <c r="J12" s="232">
        <f t="shared" si="6"/>
        <v>0.17439599274758183</v>
      </c>
      <c r="K12" s="346">
        <f t="shared" si="2"/>
        <v>8.6105108655701841</v>
      </c>
      <c r="L12" s="234">
        <f>Datos!K$58*K12%*22.5%</f>
        <v>514883.89141060581</v>
      </c>
      <c r="M12" s="29"/>
      <c r="N12" s="31"/>
      <c r="O12" s="31"/>
      <c r="P12" s="31"/>
      <c r="Q12" s="13"/>
      <c r="R12" s="31"/>
      <c r="S12" s="74"/>
      <c r="T12" s="92"/>
      <c r="U12" s="93"/>
      <c r="V12" s="91"/>
      <c r="W12" s="91"/>
    </row>
    <row r="13" spans="2:23" x14ac:dyDescent="0.25">
      <c r="B13" s="10" t="s">
        <v>10</v>
      </c>
      <c r="C13" s="219">
        <v>6.4885126808905982</v>
      </c>
      <c r="D13" s="217">
        <f t="shared" si="3"/>
        <v>3.8931076085343586</v>
      </c>
      <c r="E13" s="219">
        <f>'FGP TOTAL'!J14</f>
        <v>4.6008523090930273</v>
      </c>
      <c r="F13" s="217">
        <f t="shared" si="0"/>
        <v>1.3802556927279082</v>
      </c>
      <c r="G13" s="216">
        <f t="shared" si="4"/>
        <v>5.2733633012622665</v>
      </c>
      <c r="H13" s="115">
        <f t="shared" si="5"/>
        <v>0.18963229780899668</v>
      </c>
      <c r="I13" s="115">
        <f t="shared" si="1"/>
        <v>2.7899170683468286</v>
      </c>
      <c r="J13" s="232">
        <f t="shared" si="6"/>
        <v>0.27899170683468288</v>
      </c>
      <c r="K13" s="346">
        <f t="shared" si="2"/>
        <v>5.5523550080969493</v>
      </c>
      <c r="L13" s="234">
        <f>Datos!K$58*K13%*22.5%</f>
        <v>332014.92892754311</v>
      </c>
      <c r="M13" s="29"/>
      <c r="N13" s="12"/>
      <c r="O13" s="31"/>
      <c r="P13" s="31"/>
      <c r="Q13" s="13"/>
      <c r="R13" s="31"/>
      <c r="S13" s="74"/>
      <c r="T13" s="92"/>
      <c r="U13" s="93"/>
      <c r="V13" s="91"/>
      <c r="W13" s="91"/>
    </row>
    <row r="14" spans="2:23" x14ac:dyDescent="0.25">
      <c r="B14" s="10" t="s">
        <v>11</v>
      </c>
      <c r="C14" s="219">
        <v>3.1613515100292262</v>
      </c>
      <c r="D14" s="217">
        <f t="shared" si="3"/>
        <v>1.8968109060175355</v>
      </c>
      <c r="E14" s="219">
        <f>'FGP TOTAL'!J15</f>
        <v>3.5550825776286001</v>
      </c>
      <c r="F14" s="217">
        <f t="shared" si="0"/>
        <v>1.0665247732885801</v>
      </c>
      <c r="G14" s="216">
        <f t="shared" si="4"/>
        <v>2.9633356793061156</v>
      </c>
      <c r="H14" s="115">
        <f t="shared" si="5"/>
        <v>0.33745755061882038</v>
      </c>
      <c r="I14" s="115">
        <f t="shared" si="1"/>
        <v>4.9647585943521406</v>
      </c>
      <c r="J14" s="232">
        <f t="shared" si="6"/>
        <v>0.49647585943521411</v>
      </c>
      <c r="K14" s="346">
        <f t="shared" si="2"/>
        <v>3.45981153874133</v>
      </c>
      <c r="L14" s="234">
        <f>Datos!K$58*K14%*22.5%</f>
        <v>206886.82198143748</v>
      </c>
      <c r="M14" s="29"/>
      <c r="N14" s="12"/>
      <c r="O14" s="31"/>
      <c r="P14" s="31"/>
      <c r="Q14" s="13"/>
      <c r="R14" s="31"/>
      <c r="S14" s="74"/>
      <c r="T14" s="92"/>
      <c r="U14" s="93"/>
      <c r="V14" s="91"/>
      <c r="W14" s="91"/>
    </row>
    <row r="15" spans="2:23" x14ac:dyDescent="0.25">
      <c r="B15" s="10" t="s">
        <v>12</v>
      </c>
      <c r="C15" s="219">
        <v>1.050711580592804</v>
      </c>
      <c r="D15" s="217">
        <f t="shared" si="3"/>
        <v>0.63042694835568236</v>
      </c>
      <c r="E15" s="219">
        <f>'FGP TOTAL'!J16</f>
        <v>1.7084008041049661</v>
      </c>
      <c r="F15" s="217">
        <f t="shared" si="0"/>
        <v>0.51252024123148976</v>
      </c>
      <c r="G15" s="216">
        <f t="shared" si="4"/>
        <v>1.1429471895871721</v>
      </c>
      <c r="H15" s="115">
        <f t="shared" si="5"/>
        <v>0.87493106340389704</v>
      </c>
      <c r="I15" s="115">
        <f t="shared" si="1"/>
        <v>12.872201284382509</v>
      </c>
      <c r="J15" s="232">
        <f t="shared" si="6"/>
        <v>1.287220128438251</v>
      </c>
      <c r="K15" s="346">
        <f t="shared" si="2"/>
        <v>2.4301673180254229</v>
      </c>
      <c r="L15" s="234">
        <f>Datos!K$58*K15%*22.5%</f>
        <v>145317.04622626331</v>
      </c>
      <c r="M15" s="29"/>
      <c r="N15" s="12"/>
      <c r="O15" s="31"/>
      <c r="P15" s="31"/>
      <c r="Q15" s="13"/>
      <c r="R15" s="31"/>
      <c r="S15" s="74"/>
      <c r="T15" s="92"/>
      <c r="U15" s="93"/>
      <c r="V15" s="91"/>
      <c r="W15" s="91"/>
    </row>
    <row r="16" spans="2:23" x14ac:dyDescent="0.25">
      <c r="B16" s="10" t="s">
        <v>13</v>
      </c>
      <c r="C16" s="219">
        <v>2.5136892050445216</v>
      </c>
      <c r="D16" s="217">
        <f t="shared" si="3"/>
        <v>1.5082135230267129</v>
      </c>
      <c r="E16" s="219">
        <f>'FGP TOTAL'!J17</f>
        <v>3.4807245821792883</v>
      </c>
      <c r="F16" s="217">
        <f t="shared" si="0"/>
        <v>1.0442173746537864</v>
      </c>
      <c r="G16" s="216">
        <f t="shared" si="4"/>
        <v>2.552430897680499</v>
      </c>
      <c r="H16" s="115">
        <f t="shared" si="5"/>
        <v>0.39178337831153115</v>
      </c>
      <c r="I16" s="115">
        <f t="shared" si="1"/>
        <v>5.7640135508291372</v>
      </c>
      <c r="J16" s="232">
        <f t="shared" si="6"/>
        <v>0.57640135508291379</v>
      </c>
      <c r="K16" s="346">
        <f t="shared" si="2"/>
        <v>3.1288322527634129</v>
      </c>
      <c r="L16" s="234">
        <f>Datos!K$58*K16%*22.5%</f>
        <v>187095.20852188824</v>
      </c>
      <c r="M16" s="29"/>
      <c r="N16" s="12"/>
      <c r="O16" s="31"/>
      <c r="P16" s="31"/>
      <c r="Q16" s="13"/>
      <c r="R16" s="31"/>
      <c r="S16" s="74"/>
      <c r="T16" s="92"/>
      <c r="U16" s="93"/>
      <c r="V16" s="91"/>
      <c r="W16" s="91"/>
    </row>
    <row r="17" spans="2:23" x14ac:dyDescent="0.25">
      <c r="B17" s="10" t="s">
        <v>14</v>
      </c>
      <c r="C17" s="219">
        <v>1.6311836450290742</v>
      </c>
      <c r="D17" s="217">
        <f t="shared" si="3"/>
        <v>0.9787101870174445</v>
      </c>
      <c r="E17" s="219">
        <f>'FGP TOTAL'!J18</f>
        <v>5.0344554631640293</v>
      </c>
      <c r="F17" s="217">
        <f t="shared" si="0"/>
        <v>1.5103366389492088</v>
      </c>
      <c r="G17" s="216">
        <f t="shared" si="4"/>
        <v>2.4890468259666534</v>
      </c>
      <c r="H17" s="115">
        <f t="shared" si="5"/>
        <v>0.40176021984304661</v>
      </c>
      <c r="I17" s="115">
        <f t="shared" si="1"/>
        <v>5.9107953005551375</v>
      </c>
      <c r="J17" s="232">
        <f t="shared" si="6"/>
        <v>0.59107953005551372</v>
      </c>
      <c r="K17" s="346">
        <f t="shared" si="2"/>
        <v>3.0801263560221672</v>
      </c>
      <c r="L17" s="234">
        <f>Datos!K$58*K17%*22.5%</f>
        <v>184182.73537827353</v>
      </c>
      <c r="M17" s="29"/>
      <c r="N17" s="12"/>
      <c r="O17" s="31"/>
      <c r="P17" s="31"/>
      <c r="Q17" s="13"/>
      <c r="R17" s="31"/>
      <c r="S17" s="74"/>
      <c r="T17" s="92"/>
      <c r="U17" s="93"/>
      <c r="V17" s="91"/>
      <c r="W17" s="91"/>
    </row>
    <row r="18" spans="2:23" x14ac:dyDescent="0.25">
      <c r="B18" s="10" t="s">
        <v>15</v>
      </c>
      <c r="C18" s="219">
        <v>1.2534804821107137</v>
      </c>
      <c r="D18" s="217">
        <f t="shared" si="3"/>
        <v>0.75208828926642823</v>
      </c>
      <c r="E18" s="219">
        <f>'FGP TOTAL'!J19</f>
        <v>4.5353288463137531</v>
      </c>
      <c r="F18" s="217">
        <f t="shared" si="0"/>
        <v>1.3605986538941259</v>
      </c>
      <c r="G18" s="216">
        <f t="shared" si="4"/>
        <v>2.1126869431605542</v>
      </c>
      <c r="H18" s="115">
        <f t="shared" si="5"/>
        <v>0.47333089421379776</v>
      </c>
      <c r="I18" s="115">
        <f t="shared" si="1"/>
        <v>6.9637606884510923</v>
      </c>
      <c r="J18" s="232">
        <f t="shared" si="6"/>
        <v>0.69637606884510928</v>
      </c>
      <c r="K18" s="346">
        <f t="shared" si="2"/>
        <v>2.8090630120056632</v>
      </c>
      <c r="L18" s="234">
        <f>Datos!K$58*K18%*22.5%</f>
        <v>167973.92366373804</v>
      </c>
      <c r="M18" s="29"/>
      <c r="N18" s="12"/>
      <c r="O18" s="31"/>
      <c r="P18" s="31"/>
      <c r="Q18" s="13"/>
      <c r="R18" s="31"/>
      <c r="S18" s="74"/>
      <c r="T18" s="92"/>
      <c r="U18" s="93"/>
      <c r="V18" s="91"/>
      <c r="W18" s="91"/>
    </row>
    <row r="19" spans="2:23" x14ac:dyDescent="0.25">
      <c r="B19" s="10" t="s">
        <v>16</v>
      </c>
      <c r="C19" s="219">
        <v>3.1699231045024834</v>
      </c>
      <c r="D19" s="217">
        <f t="shared" si="3"/>
        <v>1.90195386270149</v>
      </c>
      <c r="E19" s="219">
        <f>'FGP TOTAL'!J20</f>
        <v>5.2871034657198006</v>
      </c>
      <c r="F19" s="217">
        <f t="shared" si="0"/>
        <v>1.58613103971594</v>
      </c>
      <c r="G19" s="216">
        <f t="shared" si="4"/>
        <v>3.4880849024174303</v>
      </c>
      <c r="H19" s="115">
        <f t="shared" si="5"/>
        <v>0.2866902692956087</v>
      </c>
      <c r="I19" s="115">
        <f t="shared" si="1"/>
        <v>4.217857848468368</v>
      </c>
      <c r="J19" s="232">
        <f t="shared" si="6"/>
        <v>0.42178578484683682</v>
      </c>
      <c r="K19" s="346">
        <f t="shared" si="2"/>
        <v>3.909870687264267</v>
      </c>
      <c r="L19" s="234">
        <f>Datos!K$58*K19%*22.5%</f>
        <v>233799.07020622253</v>
      </c>
      <c r="M19" s="29"/>
      <c r="N19" s="12"/>
      <c r="O19" s="31"/>
      <c r="P19" s="31"/>
      <c r="Q19" s="13"/>
      <c r="R19" s="31"/>
      <c r="S19" s="74"/>
      <c r="T19" s="92"/>
      <c r="U19" s="93"/>
      <c r="V19" s="91"/>
      <c r="W19" s="91"/>
    </row>
    <row r="20" spans="2:23" x14ac:dyDescent="0.25">
      <c r="B20" s="10" t="s">
        <v>17</v>
      </c>
      <c r="C20" s="219">
        <v>2.1630833407835541</v>
      </c>
      <c r="D20" s="217">
        <f t="shared" si="3"/>
        <v>1.2978500044701324</v>
      </c>
      <c r="E20" s="219">
        <f>'FGP TOTAL'!J21</f>
        <v>17.003449679391466</v>
      </c>
      <c r="F20" s="217">
        <f t="shared" si="0"/>
        <v>5.1010349038174398</v>
      </c>
      <c r="G20" s="216">
        <f t="shared" si="4"/>
        <v>6.3988849082875721</v>
      </c>
      <c r="H20" s="115">
        <f t="shared" si="5"/>
        <v>0.15627722866289426</v>
      </c>
      <c r="I20" s="115">
        <f t="shared" si="1"/>
        <v>2.2991890763233891</v>
      </c>
      <c r="J20" s="232">
        <f t="shared" si="6"/>
        <v>0.22991890763233891</v>
      </c>
      <c r="K20" s="346">
        <f t="shared" si="2"/>
        <v>6.6288038159199107</v>
      </c>
      <c r="L20" s="234">
        <f>Datos!K$58*K20%*22.5%</f>
        <v>396383.48495508282</v>
      </c>
      <c r="M20" s="29"/>
      <c r="N20" s="12"/>
      <c r="O20" s="31"/>
      <c r="P20" s="31"/>
      <c r="Q20" s="13"/>
      <c r="R20" s="31"/>
      <c r="S20" s="74"/>
      <c r="T20" s="92"/>
      <c r="U20" s="93"/>
      <c r="V20" s="91"/>
      <c r="W20" s="91"/>
    </row>
    <row r="21" spans="2:23" x14ac:dyDescent="0.25">
      <c r="B21" s="10" t="s">
        <v>18</v>
      </c>
      <c r="C21" s="219">
        <v>3.9742704697510276</v>
      </c>
      <c r="D21" s="217">
        <f t="shared" si="3"/>
        <v>2.3845622818506165</v>
      </c>
      <c r="E21" s="219">
        <f>'FGP TOTAL'!J22</f>
        <v>5.2108643348570878</v>
      </c>
      <c r="F21" s="217">
        <f t="shared" si="0"/>
        <v>1.5632593004571262</v>
      </c>
      <c r="G21" s="216">
        <f t="shared" si="4"/>
        <v>3.9478215823077427</v>
      </c>
      <c r="H21" s="115">
        <f t="shared" si="5"/>
        <v>0.25330425378936172</v>
      </c>
      <c r="I21" s="115">
        <f t="shared" si="1"/>
        <v>3.7266745659729561</v>
      </c>
      <c r="J21" s="232">
        <f t="shared" si="6"/>
        <v>0.37266745659729561</v>
      </c>
      <c r="K21" s="346">
        <f t="shared" si="2"/>
        <v>4.3204890389050385</v>
      </c>
      <c r="L21" s="234">
        <f>Datos!K$58*K21%*22.5%</f>
        <v>258352.87172603613</v>
      </c>
      <c r="M21" s="29"/>
      <c r="N21" s="12"/>
      <c r="O21" s="31"/>
      <c r="P21" s="31"/>
      <c r="Q21" s="13"/>
      <c r="R21" s="31"/>
      <c r="S21" s="74"/>
      <c r="T21" s="92"/>
      <c r="U21" s="93"/>
      <c r="V21" s="91"/>
      <c r="W21" s="91"/>
    </row>
    <row r="22" spans="2:23" x14ac:dyDescent="0.25">
      <c r="B22" s="10" t="s">
        <v>19</v>
      </c>
      <c r="C22" s="219">
        <v>0.69217929563613667</v>
      </c>
      <c r="D22" s="217">
        <f t="shared" si="3"/>
        <v>0.415307577381682</v>
      </c>
      <c r="E22" s="219">
        <f>'FGP TOTAL'!J23</f>
        <v>4.7948218205361703</v>
      </c>
      <c r="F22" s="217">
        <f t="shared" si="0"/>
        <v>1.4384465461608511</v>
      </c>
      <c r="G22" s="216">
        <f t="shared" si="4"/>
        <v>1.853754123542533</v>
      </c>
      <c r="H22" s="115">
        <f t="shared" si="5"/>
        <v>0.53944586679542761</v>
      </c>
      <c r="I22" s="115">
        <f t="shared" si="1"/>
        <v>7.9364604479855192</v>
      </c>
      <c r="J22" s="232">
        <f t="shared" si="6"/>
        <v>0.79364604479855194</v>
      </c>
      <c r="K22" s="346">
        <f t="shared" si="2"/>
        <v>2.6474001683410848</v>
      </c>
      <c r="L22" s="234">
        <f>Datos!K$58*K22%*22.5%</f>
        <v>158306.9485745648</v>
      </c>
      <c r="M22" s="29"/>
      <c r="N22" s="12"/>
      <c r="O22" s="31"/>
      <c r="P22" s="31"/>
      <c r="Q22" s="13"/>
      <c r="R22" s="31"/>
      <c r="S22" s="74"/>
      <c r="T22" s="92"/>
      <c r="U22" s="93"/>
      <c r="V22" s="91"/>
      <c r="W22" s="91"/>
    </row>
    <row r="23" spans="2:23" x14ac:dyDescent="0.25">
      <c r="B23" s="10" t="s">
        <v>20</v>
      </c>
      <c r="C23" s="219">
        <v>2.0656621003724496</v>
      </c>
      <c r="D23" s="217">
        <f t="shared" si="3"/>
        <v>1.2393972602234697</v>
      </c>
      <c r="E23" s="219">
        <f>'FGP TOTAL'!J24</f>
        <v>4.8387207324478618</v>
      </c>
      <c r="F23" s="217">
        <f t="shared" si="0"/>
        <v>1.4516162197343585</v>
      </c>
      <c r="G23" s="216">
        <f t="shared" si="4"/>
        <v>2.691013479957828</v>
      </c>
      <c r="H23" s="115">
        <f t="shared" si="5"/>
        <v>0.37160720577872075</v>
      </c>
      <c r="I23" s="115">
        <f t="shared" si="1"/>
        <v>5.4671767315026374</v>
      </c>
      <c r="J23" s="232">
        <f t="shared" si="6"/>
        <v>0.54671767315026376</v>
      </c>
      <c r="K23" s="346">
        <f t="shared" si="2"/>
        <v>3.2377311531080917</v>
      </c>
      <c r="L23" s="234">
        <f>Datos!K$58*K23%*22.5%</f>
        <v>193607.05090327418</v>
      </c>
      <c r="M23" s="29"/>
      <c r="N23" s="12"/>
      <c r="O23" s="31"/>
      <c r="P23" s="31"/>
      <c r="Q23" s="13"/>
      <c r="R23" s="31"/>
      <c r="S23" s="74"/>
      <c r="T23" s="92"/>
      <c r="U23" s="93"/>
      <c r="V23" s="91"/>
      <c r="W23" s="91"/>
    </row>
    <row r="24" spans="2:23" x14ac:dyDescent="0.25">
      <c r="B24" s="10" t="s">
        <v>27</v>
      </c>
      <c r="C24" s="219">
        <v>8.5784148817626882</v>
      </c>
      <c r="D24" s="217">
        <f t="shared" si="3"/>
        <v>5.1470489290576129</v>
      </c>
      <c r="E24" s="219">
        <f>'FGP TOTAL'!J25</f>
        <v>3.695881442398667</v>
      </c>
      <c r="F24" s="217">
        <f t="shared" si="0"/>
        <v>1.1087644327196</v>
      </c>
      <c r="G24" s="216">
        <f t="shared" si="4"/>
        <v>6.2558133617772125</v>
      </c>
      <c r="H24" s="115">
        <f t="shared" si="5"/>
        <v>0.15985131623490606</v>
      </c>
      <c r="I24" s="115">
        <f t="shared" si="1"/>
        <v>2.3517719329154949</v>
      </c>
      <c r="J24" s="232">
        <f t="shared" si="6"/>
        <v>0.23517719329154951</v>
      </c>
      <c r="K24" s="346">
        <f t="shared" si="2"/>
        <v>6.4909905550687617</v>
      </c>
      <c r="L24" s="234">
        <f>Datos!K$58*K24%*22.5%</f>
        <v>388142.64661890984</v>
      </c>
      <c r="M24" s="29"/>
      <c r="N24" s="12"/>
      <c r="O24" s="31"/>
      <c r="P24" s="31"/>
      <c r="Q24" s="13"/>
      <c r="R24" s="31"/>
      <c r="S24" s="74"/>
      <c r="T24" s="92"/>
      <c r="U24" s="93"/>
      <c r="V24" s="91"/>
      <c r="W24" s="91"/>
    </row>
    <row r="25" spans="2:23" x14ac:dyDescent="0.25">
      <c r="B25" s="10" t="s">
        <v>21</v>
      </c>
      <c r="C25" s="219">
        <v>3.6642183857936419</v>
      </c>
      <c r="D25" s="217">
        <f t="shared" si="3"/>
        <v>2.1985310314761852</v>
      </c>
      <c r="E25" s="219">
        <f>'FGP TOTAL'!J26</f>
        <v>5.4821250075189605</v>
      </c>
      <c r="F25" s="217">
        <f t="shared" si="0"/>
        <v>1.6446375022556881</v>
      </c>
      <c r="G25" s="216">
        <f t="shared" si="4"/>
        <v>3.8431685337318733</v>
      </c>
      <c r="H25" s="115">
        <f t="shared" si="5"/>
        <v>0.26020196388029831</v>
      </c>
      <c r="I25" s="115">
        <f t="shared" si="1"/>
        <v>3.8281553756111717</v>
      </c>
      <c r="J25" s="232">
        <f t="shared" si="6"/>
        <v>0.38281553756111719</v>
      </c>
      <c r="K25" s="346">
        <f t="shared" si="2"/>
        <v>4.2259840712929906</v>
      </c>
      <c r="L25" s="234">
        <f>Datos!K$58*K25%*22.5%</f>
        <v>252701.74530143666</v>
      </c>
      <c r="M25" s="29"/>
      <c r="N25" s="12"/>
      <c r="O25" s="31"/>
      <c r="P25" s="31"/>
      <c r="Q25" s="13"/>
      <c r="R25" s="31"/>
      <c r="S25" s="74"/>
      <c r="T25" s="92"/>
      <c r="U25" s="93"/>
      <c r="V25" s="91"/>
      <c r="W25" s="91"/>
    </row>
    <row r="26" spans="2:23" x14ac:dyDescent="0.25">
      <c r="B26" s="10" t="s">
        <v>22</v>
      </c>
      <c r="C26" s="219">
        <v>35.046669106037996</v>
      </c>
      <c r="D26" s="217">
        <f t="shared" si="3"/>
        <v>21.028001463622797</v>
      </c>
      <c r="E26" s="219">
        <f>'FGP TOTAL'!J27</f>
        <v>5.6240481790839914</v>
      </c>
      <c r="F26" s="217">
        <f t="shared" si="0"/>
        <v>1.6872144537251974</v>
      </c>
      <c r="G26" s="216">
        <f t="shared" si="4"/>
        <v>22.715215917347994</v>
      </c>
      <c r="H26" s="115">
        <f t="shared" si="5"/>
        <v>4.4023354373500939E-2</v>
      </c>
      <c r="I26" s="115">
        <f t="shared" si="1"/>
        <v>0.64768243169325923</v>
      </c>
      <c r="J26" s="232">
        <f t="shared" si="6"/>
        <v>6.4768243169325931E-2</v>
      </c>
      <c r="K26" s="346">
        <f t="shared" si="2"/>
        <v>22.779984160517319</v>
      </c>
      <c r="L26" s="234">
        <f>Datos!K$58*K26%*22.5%</f>
        <v>1362177.8166192959</v>
      </c>
      <c r="M26" s="29"/>
      <c r="N26" s="12"/>
      <c r="O26" s="31"/>
      <c r="P26" s="31"/>
      <c r="Q26" s="13"/>
      <c r="R26" s="31"/>
      <c r="S26" s="74"/>
      <c r="T26" s="92"/>
      <c r="U26" s="93"/>
      <c r="V26" s="91"/>
      <c r="W26" s="91"/>
    </row>
    <row r="27" spans="2:23" x14ac:dyDescent="0.25">
      <c r="B27" s="10" t="s">
        <v>23</v>
      </c>
      <c r="C27" s="219">
        <v>2.7677955057194654</v>
      </c>
      <c r="D27" s="217">
        <f t="shared" si="3"/>
        <v>1.6606773034316793</v>
      </c>
      <c r="E27" s="219">
        <f>'FGP TOTAL'!J28</f>
        <v>1.9781634217326987</v>
      </c>
      <c r="F27" s="217">
        <f t="shared" si="0"/>
        <v>0.59344902651980957</v>
      </c>
      <c r="G27" s="216">
        <f t="shared" si="4"/>
        <v>2.2541263299514886</v>
      </c>
      <c r="H27" s="115">
        <f t="shared" si="5"/>
        <v>0.44363085897742083</v>
      </c>
      <c r="I27" s="115">
        <f t="shared" si="1"/>
        <v>6.5268064554758114</v>
      </c>
      <c r="J27" s="232">
        <f t="shared" si="6"/>
        <v>0.65268064554758121</v>
      </c>
      <c r="K27" s="346">
        <f t="shared" si="2"/>
        <v>2.90680697549907</v>
      </c>
      <c r="L27" s="234">
        <f>Datos!K$58*K27%*22.5%</f>
        <v>173818.73276636831</v>
      </c>
      <c r="M27" s="29"/>
      <c r="N27" s="12"/>
      <c r="O27" s="31"/>
      <c r="P27" s="31"/>
      <c r="Q27" s="13"/>
      <c r="R27" s="31"/>
      <c r="S27" s="74"/>
      <c r="T27" s="92"/>
      <c r="U27" s="93"/>
      <c r="V27" s="91"/>
      <c r="W27" s="91"/>
    </row>
    <row r="28" spans="2:23" ht="15.75" thickBot="1" x14ac:dyDescent="0.3">
      <c r="B28" s="10" t="s">
        <v>24</v>
      </c>
      <c r="C28" s="219">
        <v>4.5256175465147246</v>
      </c>
      <c r="D28" s="217">
        <f t="shared" si="3"/>
        <v>2.7153705279088345</v>
      </c>
      <c r="E28" s="219">
        <f>'FGP TOTAL'!J29</f>
        <v>4.7139345875768743</v>
      </c>
      <c r="F28" s="217">
        <f t="shared" si="0"/>
        <v>1.4141803762730623</v>
      </c>
      <c r="G28" s="216">
        <f t="shared" si="4"/>
        <v>4.1295509041818965</v>
      </c>
      <c r="H28" s="115">
        <f t="shared" si="5"/>
        <v>0.24215708274411246</v>
      </c>
      <c r="I28" s="115">
        <f t="shared" si="1"/>
        <v>3.5626746402100626</v>
      </c>
      <c r="J28" s="232">
        <f t="shared" si="6"/>
        <v>0.35626746402100629</v>
      </c>
      <c r="K28" s="346">
        <f t="shared" si="2"/>
        <v>4.4858183682029029</v>
      </c>
      <c r="L28" s="234">
        <f>Datos!K$58*K28%*22.5%</f>
        <v>268239.09215618164</v>
      </c>
      <c r="M28" s="29"/>
      <c r="N28" s="12"/>
      <c r="O28" s="31"/>
      <c r="P28" s="31"/>
      <c r="Q28" s="13"/>
      <c r="R28" s="31"/>
      <c r="S28" s="74"/>
      <c r="T28" s="92"/>
      <c r="U28" s="93"/>
      <c r="V28" s="91"/>
      <c r="W28" s="91"/>
    </row>
    <row r="29" spans="2:23" ht="15.75" thickBot="1" x14ac:dyDescent="0.3">
      <c r="B29" s="239" t="s">
        <v>25</v>
      </c>
      <c r="C29" s="345">
        <f>SUM(C9:C28)</f>
        <v>99.999999999999986</v>
      </c>
      <c r="D29" s="567">
        <f t="shared" ref="D29:K29" si="7">SUM(D9:D28)</f>
        <v>59.999999999999993</v>
      </c>
      <c r="E29" s="345">
        <f t="shared" si="7"/>
        <v>100.00000000000001</v>
      </c>
      <c r="F29" s="567">
        <f t="shared" si="7"/>
        <v>30</v>
      </c>
      <c r="G29" s="568">
        <f>SUM(G9:G28)</f>
        <v>89.999999999999986</v>
      </c>
      <c r="H29" s="240">
        <f>SUM(H9:H28)</f>
        <v>6.7970585921883231</v>
      </c>
      <c r="I29" s="240">
        <f t="shared" si="7"/>
        <v>99.999999999999957</v>
      </c>
      <c r="J29" s="569">
        <f t="shared" si="7"/>
        <v>9.9999999999999964</v>
      </c>
      <c r="K29" s="570">
        <f t="shared" si="7"/>
        <v>99.999999999999986</v>
      </c>
      <c r="L29" s="241">
        <f>SUM(L9:L28)</f>
        <v>5979713.625</v>
      </c>
      <c r="M29" s="11"/>
      <c r="N29" s="12"/>
      <c r="O29" s="31"/>
      <c r="P29" s="31"/>
      <c r="Q29" s="96"/>
      <c r="R29" s="87"/>
      <c r="S29" s="72"/>
      <c r="T29" s="92"/>
      <c r="U29" s="93"/>
      <c r="V29" s="91"/>
      <c r="W29" s="91"/>
    </row>
    <row r="30" spans="2:23" x14ac:dyDescent="0.25">
      <c r="B30" s="318" t="s">
        <v>26</v>
      </c>
      <c r="C30" s="2"/>
      <c r="D30" s="2"/>
      <c r="E30" s="2"/>
      <c r="F30" s="2"/>
      <c r="G30" s="2"/>
      <c r="H30" s="2"/>
      <c r="I30" s="2"/>
      <c r="J30" s="2"/>
      <c r="K30" s="90"/>
      <c r="L30" s="70"/>
      <c r="M30" s="70"/>
      <c r="N30" s="31"/>
      <c r="O30" s="88"/>
      <c r="P30" s="88"/>
      <c r="Q30" s="91"/>
      <c r="R30" s="91"/>
      <c r="S30" s="91"/>
      <c r="T30" s="91"/>
      <c r="U30" s="91"/>
      <c r="V30" s="91"/>
      <c r="W30" s="91"/>
    </row>
    <row r="31" spans="2:23" x14ac:dyDescent="0.25">
      <c r="B31" s="318"/>
      <c r="C31" s="2"/>
      <c r="D31" s="2"/>
      <c r="E31" s="2"/>
      <c r="F31" s="2"/>
      <c r="G31" s="2"/>
      <c r="H31" s="2"/>
      <c r="I31" s="2"/>
      <c r="J31" s="2"/>
      <c r="K31" s="2"/>
      <c r="L31" s="78"/>
      <c r="M31" s="2"/>
      <c r="N31" s="2"/>
      <c r="O31" s="3"/>
      <c r="P31" s="3"/>
    </row>
  </sheetData>
  <mergeCells count="9">
    <mergeCell ref="B3:L3"/>
    <mergeCell ref="B4:B8"/>
    <mergeCell ref="C4:D4"/>
    <mergeCell ref="E4:F4"/>
    <mergeCell ref="C7:D7"/>
    <mergeCell ref="E7:F7"/>
    <mergeCell ref="G4:J4"/>
    <mergeCell ref="D5:D6"/>
    <mergeCell ref="F5:F6"/>
  </mergeCells>
  <pageMargins left="0.36" right="0.70866141732283472" top="0.74803149606299213" bottom="0.74803149606299213" header="0.31496062992125984" footer="0.31496062992125984"/>
  <pageSetup scale="76" orientation="landscape" r:id="rId1"/>
  <ignoredErrors>
    <ignoredError sqref="C29" formulaRange="1"/>
    <ignoredError sqref="L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G28"/>
  <sheetViews>
    <sheetView workbookViewId="0">
      <selection activeCell="J23" sqref="J23"/>
    </sheetView>
  </sheetViews>
  <sheetFormatPr baseColWidth="10" defaultRowHeight="15" x14ac:dyDescent="0.2"/>
  <cols>
    <col min="1" max="1" width="23" style="471" customWidth="1"/>
    <col min="2" max="7" width="14" style="471" bestFit="1" customWidth="1"/>
    <col min="8" max="16384" width="11.42578125" style="471"/>
  </cols>
  <sheetData>
    <row r="2" spans="1:7" ht="30" customHeight="1" x14ac:dyDescent="0.2">
      <c r="A2" s="806" t="s">
        <v>352</v>
      </c>
      <c r="B2" s="806"/>
      <c r="C2" s="806"/>
      <c r="D2" s="806"/>
      <c r="E2" s="806"/>
      <c r="F2" s="806"/>
      <c r="G2" s="806"/>
    </row>
    <row r="4" spans="1:7" ht="15.75" x14ac:dyDescent="0.25">
      <c r="A4" s="641" t="s">
        <v>353</v>
      </c>
      <c r="B4" s="641"/>
      <c r="C4" s="641"/>
      <c r="D4" s="641"/>
      <c r="E4" s="641"/>
      <c r="F4" s="641"/>
      <c r="G4" s="641"/>
    </row>
    <row r="6" spans="1:7" s="533" customFormat="1" ht="24.95" customHeight="1" x14ac:dyDescent="0.25">
      <c r="A6" s="715" t="s">
        <v>32</v>
      </c>
      <c r="B6" s="803">
        <v>2014</v>
      </c>
      <c r="C6" s="804"/>
      <c r="D6" s="805"/>
      <c r="E6" s="803">
        <v>2015</v>
      </c>
      <c r="F6" s="804"/>
      <c r="G6" s="805"/>
    </row>
    <row r="7" spans="1:7" s="533" customFormat="1" ht="24.95" customHeight="1" x14ac:dyDescent="0.25">
      <c r="A7" s="715"/>
      <c r="B7" s="459" t="s">
        <v>33</v>
      </c>
      <c r="C7" s="459" t="s">
        <v>34</v>
      </c>
      <c r="D7" s="459" t="s">
        <v>35</v>
      </c>
      <c r="E7" s="459" t="s">
        <v>33</v>
      </c>
      <c r="F7" s="459" t="s">
        <v>34</v>
      </c>
      <c r="G7" s="459" t="s">
        <v>35</v>
      </c>
    </row>
    <row r="8" spans="1:7" s="533" customFormat="1" ht="24.95" customHeight="1" x14ac:dyDescent="0.25">
      <c r="A8" s="534" t="s">
        <v>39</v>
      </c>
      <c r="B8" s="534">
        <v>3921861</v>
      </c>
      <c r="C8" s="534">
        <v>6674015</v>
      </c>
      <c r="D8" s="535">
        <f t="shared" ref="D8:D27" si="0">B8+C8</f>
        <v>10595876</v>
      </c>
      <c r="E8" s="534">
        <v>1950494</v>
      </c>
      <c r="F8" s="534">
        <v>7890356</v>
      </c>
      <c r="G8" s="535">
        <f t="shared" ref="G8" si="1">E8+F8</f>
        <v>9840850</v>
      </c>
    </row>
    <row r="9" spans="1:7" s="533" customFormat="1" ht="24.95" customHeight="1" x14ac:dyDescent="0.25">
      <c r="A9" s="534" t="s">
        <v>41</v>
      </c>
      <c r="B9" s="534">
        <v>1727695</v>
      </c>
      <c r="C9" s="534">
        <v>1786622</v>
      </c>
      <c r="D9" s="535">
        <f>B9+C9</f>
        <v>3514317</v>
      </c>
      <c r="E9" s="534">
        <v>1877264</v>
      </c>
      <c r="F9" s="534">
        <v>1913057</v>
      </c>
      <c r="G9" s="535">
        <f>E9+F9</f>
        <v>3790321</v>
      </c>
    </row>
    <row r="10" spans="1:7" s="533" customFormat="1" ht="24.95" customHeight="1" x14ac:dyDescent="0.25">
      <c r="A10" s="534" t="s">
        <v>40</v>
      </c>
      <c r="B10" s="534">
        <v>1615790</v>
      </c>
      <c r="C10" s="534">
        <v>1575981</v>
      </c>
      <c r="D10" s="535">
        <f t="shared" si="0"/>
        <v>3191771</v>
      </c>
      <c r="E10" s="534">
        <v>1935203</v>
      </c>
      <c r="F10" s="534">
        <v>1753984</v>
      </c>
      <c r="G10" s="535">
        <f t="shared" ref="G10" si="2">E10+F10</f>
        <v>3689187</v>
      </c>
    </row>
    <row r="11" spans="1:7" s="533" customFormat="1" ht="24.95" customHeight="1" x14ac:dyDescent="0.25">
      <c r="A11" s="534" t="s">
        <v>53</v>
      </c>
      <c r="B11" s="534">
        <v>79726602</v>
      </c>
      <c r="C11" s="534">
        <v>80464700</v>
      </c>
      <c r="D11" s="535">
        <f>B11+C11</f>
        <v>160191302</v>
      </c>
      <c r="E11" s="534">
        <v>98152406</v>
      </c>
      <c r="F11" s="534">
        <v>101948180</v>
      </c>
      <c r="G11" s="535">
        <f>E11+F11</f>
        <v>200100586</v>
      </c>
    </row>
    <row r="12" spans="1:7" s="533" customFormat="1" ht="24.95" customHeight="1" x14ac:dyDescent="0.25">
      <c r="A12" s="534" t="s">
        <v>42</v>
      </c>
      <c r="B12" s="534">
        <v>12923845</v>
      </c>
      <c r="C12" s="534">
        <v>22177342</v>
      </c>
      <c r="D12" s="535">
        <f t="shared" si="0"/>
        <v>35101187</v>
      </c>
      <c r="E12" s="534">
        <v>15507321</v>
      </c>
      <c r="F12" s="534">
        <v>23101140</v>
      </c>
      <c r="G12" s="535">
        <f t="shared" ref="G12" si="3">E12+F12</f>
        <v>38608461</v>
      </c>
    </row>
    <row r="13" spans="1:7" s="533" customFormat="1" ht="24.95" customHeight="1" x14ac:dyDescent="0.25">
      <c r="A13" s="534" t="s">
        <v>56</v>
      </c>
      <c r="B13" s="534">
        <v>12070</v>
      </c>
      <c r="C13" s="534">
        <v>54476</v>
      </c>
      <c r="D13" s="535">
        <f>B13+C13</f>
        <v>66546</v>
      </c>
      <c r="E13" s="534">
        <v>12163</v>
      </c>
      <c r="F13" s="534">
        <v>44395</v>
      </c>
      <c r="G13" s="535">
        <f>E13+F13</f>
        <v>56558</v>
      </c>
    </row>
    <row r="14" spans="1:7" s="533" customFormat="1" ht="24.95" customHeight="1" x14ac:dyDescent="0.25">
      <c r="A14" s="534" t="s">
        <v>55</v>
      </c>
      <c r="B14" s="534">
        <v>20381</v>
      </c>
      <c r="C14" s="534">
        <v>180121</v>
      </c>
      <c r="D14" s="535">
        <f>B14+C14</f>
        <v>200502</v>
      </c>
      <c r="E14" s="534">
        <v>13691</v>
      </c>
      <c r="F14" s="534">
        <v>68199</v>
      </c>
      <c r="G14" s="535">
        <f>E14+F14</f>
        <v>81890</v>
      </c>
    </row>
    <row r="15" spans="1:7" s="533" customFormat="1" ht="24.95" customHeight="1" x14ac:dyDescent="0.25">
      <c r="A15" s="534" t="s">
        <v>43</v>
      </c>
      <c r="B15" s="534">
        <v>5150592</v>
      </c>
      <c r="C15" s="534">
        <v>6038696</v>
      </c>
      <c r="D15" s="535">
        <f t="shared" si="0"/>
        <v>11189288</v>
      </c>
      <c r="E15" s="534">
        <v>4506594</v>
      </c>
      <c r="F15" s="534">
        <v>4804367</v>
      </c>
      <c r="G15" s="535">
        <f t="shared" ref="G15:G16" si="4">E15+F15</f>
        <v>9310961</v>
      </c>
    </row>
    <row r="16" spans="1:7" s="533" customFormat="1" ht="24.95" customHeight="1" x14ac:dyDescent="0.25">
      <c r="A16" s="534" t="s">
        <v>44</v>
      </c>
      <c r="B16" s="534">
        <v>794901</v>
      </c>
      <c r="C16" s="534">
        <v>1849197</v>
      </c>
      <c r="D16" s="535">
        <f t="shared" si="0"/>
        <v>2644098</v>
      </c>
      <c r="E16" s="534">
        <v>1289975</v>
      </c>
      <c r="F16" s="534">
        <v>1892408</v>
      </c>
      <c r="G16" s="535">
        <f t="shared" si="4"/>
        <v>3182383</v>
      </c>
    </row>
    <row r="17" spans="1:7" s="533" customFormat="1" ht="24.95" customHeight="1" x14ac:dyDescent="0.25">
      <c r="A17" s="534" t="s">
        <v>54</v>
      </c>
      <c r="B17" s="534">
        <v>410354</v>
      </c>
      <c r="C17" s="534">
        <v>126366</v>
      </c>
      <c r="D17" s="535">
        <f>B17+C17</f>
        <v>536720</v>
      </c>
      <c r="E17" s="534">
        <v>443737</v>
      </c>
      <c r="F17" s="534">
        <v>138204</v>
      </c>
      <c r="G17" s="535">
        <f>E17+F17</f>
        <v>581941</v>
      </c>
    </row>
    <row r="18" spans="1:7" s="533" customFormat="1" ht="24.95" customHeight="1" x14ac:dyDescent="0.25">
      <c r="A18" s="534" t="s">
        <v>45</v>
      </c>
      <c r="B18" s="534">
        <v>769102</v>
      </c>
      <c r="C18" s="534">
        <v>908222</v>
      </c>
      <c r="D18" s="535">
        <f t="shared" si="0"/>
        <v>1677324</v>
      </c>
      <c r="E18" s="534">
        <v>1147352</v>
      </c>
      <c r="F18" s="534">
        <v>972752</v>
      </c>
      <c r="G18" s="535">
        <f t="shared" ref="G18:G20" si="5">E18+F18</f>
        <v>2120104</v>
      </c>
    </row>
    <row r="19" spans="1:7" s="533" customFormat="1" ht="24.95" customHeight="1" x14ac:dyDescent="0.25">
      <c r="A19" s="534" t="s">
        <v>46</v>
      </c>
      <c r="B19" s="534">
        <v>316115</v>
      </c>
      <c r="C19" s="534">
        <v>1194112</v>
      </c>
      <c r="D19" s="535">
        <f t="shared" si="0"/>
        <v>1510227</v>
      </c>
      <c r="E19" s="534">
        <v>398116</v>
      </c>
      <c r="F19" s="534">
        <v>5740941</v>
      </c>
      <c r="G19" s="535">
        <f t="shared" si="5"/>
        <v>6139057</v>
      </c>
    </row>
    <row r="20" spans="1:7" s="533" customFormat="1" ht="24.95" customHeight="1" x14ac:dyDescent="0.25">
      <c r="A20" s="534" t="s">
        <v>47</v>
      </c>
      <c r="B20" s="534">
        <v>2071561</v>
      </c>
      <c r="C20" s="534">
        <v>1423012</v>
      </c>
      <c r="D20" s="535">
        <f t="shared" si="0"/>
        <v>3494573</v>
      </c>
      <c r="E20" s="534">
        <v>2401077</v>
      </c>
      <c r="F20" s="534">
        <v>1952300</v>
      </c>
      <c r="G20" s="535">
        <f t="shared" si="5"/>
        <v>4353377</v>
      </c>
    </row>
    <row r="21" spans="1:7" s="533" customFormat="1" ht="24.95" customHeight="1" x14ac:dyDescent="0.25">
      <c r="A21" s="534" t="s">
        <v>57</v>
      </c>
      <c r="B21" s="534">
        <v>663523</v>
      </c>
      <c r="C21" s="534">
        <v>449690</v>
      </c>
      <c r="D21" s="535">
        <f>B21+C21</f>
        <v>1113213</v>
      </c>
      <c r="E21" s="534">
        <v>820443</v>
      </c>
      <c r="F21" s="534">
        <v>455623</v>
      </c>
      <c r="G21" s="535">
        <f>E21+F21</f>
        <v>1276066</v>
      </c>
    </row>
    <row r="22" spans="1:7" s="533" customFormat="1" ht="24.95" customHeight="1" x14ac:dyDescent="0.25">
      <c r="A22" s="534" t="s">
        <v>48</v>
      </c>
      <c r="B22" s="534">
        <v>1253849</v>
      </c>
      <c r="C22" s="534">
        <v>940495</v>
      </c>
      <c r="D22" s="535">
        <f t="shared" si="0"/>
        <v>2194344</v>
      </c>
      <c r="E22" s="534">
        <v>1597920</v>
      </c>
      <c r="F22" s="534">
        <v>940466</v>
      </c>
      <c r="G22" s="535">
        <f t="shared" ref="G22:G24" si="6">E22+F22</f>
        <v>2538386</v>
      </c>
    </row>
    <row r="23" spans="1:7" s="533" customFormat="1" ht="24.95" customHeight="1" x14ac:dyDescent="0.25">
      <c r="A23" s="534" t="s">
        <v>49</v>
      </c>
      <c r="B23" s="534">
        <v>5539545</v>
      </c>
      <c r="C23" s="534">
        <v>8664084</v>
      </c>
      <c r="D23" s="535">
        <f t="shared" si="0"/>
        <v>14203629</v>
      </c>
      <c r="E23" s="534">
        <v>3479641</v>
      </c>
      <c r="F23" s="534">
        <v>9070244</v>
      </c>
      <c r="G23" s="535">
        <f t="shared" si="6"/>
        <v>12549885</v>
      </c>
    </row>
    <row r="24" spans="1:7" s="533" customFormat="1" ht="24.95" customHeight="1" x14ac:dyDescent="0.25">
      <c r="A24" s="534" t="s">
        <v>50</v>
      </c>
      <c r="B24" s="534">
        <v>7245605</v>
      </c>
      <c r="C24" s="534">
        <v>2154134</v>
      </c>
      <c r="D24" s="535">
        <f t="shared" si="0"/>
        <v>9399739</v>
      </c>
      <c r="E24" s="534">
        <v>10124268</v>
      </c>
      <c r="F24" s="534">
        <v>2195063</v>
      </c>
      <c r="G24" s="535">
        <f t="shared" si="6"/>
        <v>12319331</v>
      </c>
    </row>
    <row r="25" spans="1:7" s="533" customFormat="1" ht="24.95" customHeight="1" x14ac:dyDescent="0.25">
      <c r="A25" s="534" t="s">
        <v>38</v>
      </c>
      <c r="B25" s="534">
        <v>55997783</v>
      </c>
      <c r="C25" s="534">
        <v>119764263</v>
      </c>
      <c r="D25" s="535">
        <f>B25+C25</f>
        <v>175762046</v>
      </c>
      <c r="E25" s="534">
        <v>61230587</v>
      </c>
      <c r="F25" s="534">
        <v>175087263</v>
      </c>
      <c r="G25" s="535">
        <f>E25+F25</f>
        <v>236317850</v>
      </c>
    </row>
    <row r="26" spans="1:7" s="533" customFormat="1" ht="24.95" customHeight="1" x14ac:dyDescent="0.25">
      <c r="A26" s="534" t="s">
        <v>51</v>
      </c>
      <c r="B26" s="534">
        <v>940511</v>
      </c>
      <c r="C26" s="534">
        <v>2266380</v>
      </c>
      <c r="D26" s="535">
        <f t="shared" si="0"/>
        <v>3206891</v>
      </c>
      <c r="E26" s="534">
        <v>680921</v>
      </c>
      <c r="F26" s="534">
        <v>835671</v>
      </c>
      <c r="G26" s="535">
        <f t="shared" ref="G26:G27" si="7">E26+F26</f>
        <v>1516592</v>
      </c>
    </row>
    <row r="27" spans="1:7" s="533" customFormat="1" ht="24.95" customHeight="1" x14ac:dyDescent="0.25">
      <c r="A27" s="534" t="s">
        <v>52</v>
      </c>
      <c r="B27" s="534">
        <v>8044787</v>
      </c>
      <c r="C27" s="534">
        <v>16525376</v>
      </c>
      <c r="D27" s="535">
        <f t="shared" si="0"/>
        <v>24570163</v>
      </c>
      <c r="E27" s="534">
        <v>9498957</v>
      </c>
      <c r="F27" s="534">
        <v>18190471</v>
      </c>
      <c r="G27" s="535">
        <f t="shared" si="7"/>
        <v>27689428</v>
      </c>
    </row>
    <row r="28" spans="1:7" s="533" customFormat="1" ht="24.95" customHeight="1" x14ac:dyDescent="0.25">
      <c r="A28" s="536" t="s">
        <v>25</v>
      </c>
      <c r="B28" s="535">
        <f>SUM(B8:B27)</f>
        <v>189146472</v>
      </c>
      <c r="C28" s="535">
        <f>SUM(C8:C27)</f>
        <v>275217284</v>
      </c>
      <c r="D28" s="535">
        <f>B28+C28</f>
        <v>464363756</v>
      </c>
      <c r="E28" s="535">
        <f>SUM(E8:E27)</f>
        <v>217068130</v>
      </c>
      <c r="F28" s="535">
        <f>SUM(F8:F27)</f>
        <v>358995084</v>
      </c>
      <c r="G28" s="535">
        <f>E28+F28</f>
        <v>576063214</v>
      </c>
    </row>
  </sheetData>
  <mergeCells count="5">
    <mergeCell ref="A6:A7"/>
    <mergeCell ref="B6:D6"/>
    <mergeCell ref="E6:G6"/>
    <mergeCell ref="A2:G2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D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C29"/>
  <sheetViews>
    <sheetView zoomScale="90" zoomScaleNormal="90" workbookViewId="0">
      <selection activeCell="F24" sqref="F24"/>
    </sheetView>
  </sheetViews>
  <sheetFormatPr baseColWidth="10" defaultRowHeight="15" x14ac:dyDescent="0.25"/>
  <cols>
    <col min="1" max="1" width="33.7109375" customWidth="1"/>
    <col min="2" max="2" width="30.5703125" customWidth="1"/>
  </cols>
  <sheetData>
    <row r="2" spans="1:3" x14ac:dyDescent="0.25">
      <c r="A2" s="2"/>
      <c r="B2" s="2"/>
    </row>
    <row r="3" spans="1:3" ht="15.75" x14ac:dyDescent="0.25">
      <c r="A3" s="641" t="s">
        <v>356</v>
      </c>
      <c r="B3" s="641"/>
    </row>
    <row r="4" spans="1:3" ht="15.75" x14ac:dyDescent="0.25">
      <c r="A4" s="641" t="s">
        <v>355</v>
      </c>
      <c r="B4" s="641"/>
    </row>
    <row r="5" spans="1:3" x14ac:dyDescent="0.25">
      <c r="A5" s="213"/>
      <c r="B5" s="213"/>
    </row>
    <row r="6" spans="1:3" ht="20.100000000000001" customHeight="1" x14ac:dyDescent="0.25">
      <c r="A6" s="537" t="s">
        <v>0</v>
      </c>
      <c r="B6" s="537" t="s">
        <v>354</v>
      </c>
    </row>
    <row r="7" spans="1:3" ht="20.100000000000001" customHeight="1" x14ac:dyDescent="0.25">
      <c r="A7" s="539" t="s">
        <v>6</v>
      </c>
      <c r="B7" s="540">
        <v>36572</v>
      </c>
      <c r="C7" s="281"/>
    </row>
    <row r="8" spans="1:3" ht="20.100000000000001" customHeight="1" x14ac:dyDescent="0.25">
      <c r="A8" s="541" t="s">
        <v>7</v>
      </c>
      <c r="B8" s="538">
        <v>15229</v>
      </c>
      <c r="C8" s="281"/>
    </row>
    <row r="9" spans="1:3" ht="20.100000000000001" customHeight="1" x14ac:dyDescent="0.25">
      <c r="A9" s="541" t="s">
        <v>8</v>
      </c>
      <c r="B9" s="542">
        <v>11188</v>
      </c>
      <c r="C9" s="281"/>
    </row>
    <row r="10" spans="1:3" ht="20.100000000000001" customHeight="1" x14ac:dyDescent="0.25">
      <c r="A10" s="541" t="s">
        <v>9</v>
      </c>
      <c r="B10" s="542">
        <v>124205</v>
      </c>
      <c r="C10" s="281"/>
    </row>
    <row r="11" spans="1:3" ht="20.100000000000001" customHeight="1" x14ac:dyDescent="0.25">
      <c r="A11" s="541" t="s">
        <v>10</v>
      </c>
      <c r="B11" s="542">
        <v>70399</v>
      </c>
      <c r="C11" s="281"/>
    </row>
    <row r="12" spans="1:3" ht="20.100000000000001" customHeight="1" x14ac:dyDescent="0.25">
      <c r="A12" s="541" t="s">
        <v>11</v>
      </c>
      <c r="B12" s="542">
        <v>34300</v>
      </c>
      <c r="C12" s="281"/>
    </row>
    <row r="13" spans="1:3" ht="20.100000000000001" customHeight="1" x14ac:dyDescent="0.25">
      <c r="A13" s="541" t="s">
        <v>12</v>
      </c>
      <c r="B13" s="542">
        <v>11400</v>
      </c>
      <c r="C13" s="281"/>
    </row>
    <row r="14" spans="1:3" ht="20.100000000000001" customHeight="1" x14ac:dyDescent="0.25">
      <c r="A14" s="541" t="s">
        <v>13</v>
      </c>
      <c r="B14" s="542">
        <v>27273</v>
      </c>
      <c r="C14" s="281"/>
    </row>
    <row r="15" spans="1:3" ht="20.100000000000001" customHeight="1" x14ac:dyDescent="0.25">
      <c r="A15" s="541" t="s">
        <v>14</v>
      </c>
      <c r="B15" s="542">
        <v>17698</v>
      </c>
      <c r="C15" s="281"/>
    </row>
    <row r="16" spans="1:3" ht="20.100000000000001" customHeight="1" x14ac:dyDescent="0.25">
      <c r="A16" s="541" t="s">
        <v>15</v>
      </c>
      <c r="B16" s="542">
        <v>13600</v>
      </c>
      <c r="C16" s="281"/>
    </row>
    <row r="17" spans="1:3" ht="20.100000000000001" customHeight="1" x14ac:dyDescent="0.25">
      <c r="A17" s="541" t="s">
        <v>16</v>
      </c>
      <c r="B17" s="542">
        <v>34393</v>
      </c>
      <c r="C17" s="281"/>
    </row>
    <row r="18" spans="1:3" ht="20.100000000000001" customHeight="1" x14ac:dyDescent="0.25">
      <c r="A18" s="541" t="s">
        <v>17</v>
      </c>
      <c r="B18" s="542">
        <v>23469</v>
      </c>
      <c r="C18" s="281"/>
    </row>
    <row r="19" spans="1:3" ht="20.100000000000001" customHeight="1" x14ac:dyDescent="0.25">
      <c r="A19" s="541" t="s">
        <v>18</v>
      </c>
      <c r="B19" s="542">
        <v>43120</v>
      </c>
      <c r="C19" s="281"/>
    </row>
    <row r="20" spans="1:3" ht="20.100000000000001" customHeight="1" x14ac:dyDescent="0.25">
      <c r="A20" s="541" t="s">
        <v>19</v>
      </c>
      <c r="B20" s="542">
        <v>7510</v>
      </c>
      <c r="C20" s="281"/>
    </row>
    <row r="21" spans="1:3" ht="20.100000000000001" customHeight="1" x14ac:dyDescent="0.25">
      <c r="A21" s="541" t="s">
        <v>20</v>
      </c>
      <c r="B21" s="542">
        <v>22412</v>
      </c>
      <c r="C21" s="281"/>
    </row>
    <row r="22" spans="1:3" ht="20.100000000000001" customHeight="1" x14ac:dyDescent="0.25">
      <c r="A22" s="541" t="s">
        <v>27</v>
      </c>
      <c r="B22" s="542">
        <v>93074</v>
      </c>
      <c r="C22" s="281"/>
    </row>
    <row r="23" spans="1:3" ht="20.100000000000001" customHeight="1" x14ac:dyDescent="0.25">
      <c r="A23" s="541" t="s">
        <v>21</v>
      </c>
      <c r="B23" s="542">
        <v>39756</v>
      </c>
      <c r="C23" s="281"/>
    </row>
    <row r="24" spans="1:3" ht="20.100000000000001" customHeight="1" x14ac:dyDescent="0.25">
      <c r="A24" s="541" t="s">
        <v>22</v>
      </c>
      <c r="B24" s="542">
        <v>380249</v>
      </c>
      <c r="C24" s="281"/>
    </row>
    <row r="25" spans="1:3" ht="20.100000000000001" customHeight="1" x14ac:dyDescent="0.25">
      <c r="A25" s="541" t="s">
        <v>23</v>
      </c>
      <c r="B25" s="542">
        <v>30030</v>
      </c>
      <c r="C25" s="281"/>
    </row>
    <row r="26" spans="1:3" ht="20.100000000000001" customHeight="1" x14ac:dyDescent="0.25">
      <c r="A26" s="543" t="s">
        <v>24</v>
      </c>
      <c r="B26" s="544">
        <v>49102</v>
      </c>
      <c r="C26" s="281"/>
    </row>
    <row r="27" spans="1:3" ht="20.100000000000001" customHeight="1" x14ac:dyDescent="0.25">
      <c r="A27" s="545" t="s">
        <v>25</v>
      </c>
      <c r="B27" s="546">
        <f>SUM(B7:B26)</f>
        <v>1084979</v>
      </c>
    </row>
    <row r="28" spans="1:3" x14ac:dyDescent="0.25">
      <c r="A28" s="2"/>
      <c r="B28" s="2"/>
    </row>
    <row r="29" spans="1:3" x14ac:dyDescent="0.25">
      <c r="A29" s="2"/>
      <c r="B29" s="2"/>
    </row>
  </sheetData>
  <mergeCells count="2"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1"/>
  <sheetViews>
    <sheetView topLeftCell="A3"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20.42578125" customWidth="1"/>
    <col min="3" max="4" width="15.28515625" customWidth="1"/>
    <col min="5" max="6" width="14.7109375" customWidth="1"/>
    <col min="7" max="7" width="12.7109375" customWidth="1"/>
    <col min="8" max="8" width="15.5703125" customWidth="1"/>
    <col min="9" max="9" width="14.140625" customWidth="1"/>
    <col min="10" max="10" width="17.5703125" customWidth="1"/>
    <col min="11" max="11" width="16.5703125" customWidth="1"/>
    <col min="12" max="12" width="14.85546875" bestFit="1" customWidth="1"/>
    <col min="13" max="14" width="15.42578125" style="1" customWidth="1"/>
    <col min="15" max="15" width="15.85546875" customWidth="1"/>
    <col min="16" max="16" width="14.7109375" customWidth="1"/>
    <col min="17" max="17" width="15.140625" customWidth="1"/>
  </cols>
  <sheetData>
    <row r="2" spans="2:2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36" t="s">
        <v>37</v>
      </c>
    </row>
    <row r="3" spans="2:21" x14ac:dyDescent="0.25">
      <c r="B3" s="2"/>
      <c r="C3" s="2"/>
      <c r="D3" s="2"/>
      <c r="E3" s="2"/>
      <c r="F3" s="2"/>
      <c r="G3" s="2"/>
      <c r="H3" s="2"/>
      <c r="I3" s="2"/>
      <c r="J3" s="101" t="s">
        <v>185</v>
      </c>
      <c r="K3" s="2"/>
      <c r="L3" s="2"/>
      <c r="M3" s="3"/>
      <c r="N3" s="3"/>
    </row>
    <row r="4" spans="2:21" x14ac:dyDescent="0.25">
      <c r="B4" s="760" t="s">
        <v>92</v>
      </c>
      <c r="C4" s="760"/>
      <c r="D4" s="760"/>
      <c r="E4" s="760"/>
      <c r="F4" s="760"/>
      <c r="G4" s="760"/>
      <c r="H4" s="760"/>
      <c r="I4" s="760"/>
      <c r="J4" s="42"/>
      <c r="K4" s="42"/>
      <c r="L4" s="42"/>
      <c r="M4" s="42"/>
      <c r="N4" s="42"/>
      <c r="O4" s="42"/>
    </row>
    <row r="5" spans="2:21" ht="15" customHeight="1" x14ac:dyDescent="0.25">
      <c r="B5" s="762" t="s">
        <v>0</v>
      </c>
      <c r="C5" s="47" t="s">
        <v>168</v>
      </c>
      <c r="D5" s="47" t="s">
        <v>168</v>
      </c>
      <c r="E5" s="47" t="s">
        <v>169</v>
      </c>
      <c r="F5" s="47" t="s">
        <v>169</v>
      </c>
      <c r="G5" s="47" t="s">
        <v>102</v>
      </c>
      <c r="H5" s="47" t="s">
        <v>102</v>
      </c>
      <c r="I5" s="4" t="s">
        <v>172</v>
      </c>
      <c r="J5" s="4" t="s">
        <v>86</v>
      </c>
      <c r="K5" s="766"/>
      <c r="L5" s="766"/>
      <c r="M5" s="42"/>
      <c r="N5" s="42"/>
      <c r="O5" s="42"/>
      <c r="P5" s="42"/>
      <c r="Q5" s="72"/>
      <c r="R5" s="72"/>
      <c r="S5" s="91"/>
      <c r="T5" s="91"/>
      <c r="U5" s="91"/>
    </row>
    <row r="6" spans="2:21" x14ac:dyDescent="0.25">
      <c r="B6" s="763"/>
      <c r="C6" s="48" t="s">
        <v>87</v>
      </c>
      <c r="D6" s="48" t="s">
        <v>174</v>
      </c>
      <c r="E6" s="48" t="s">
        <v>87</v>
      </c>
      <c r="F6" s="48" t="s">
        <v>174</v>
      </c>
      <c r="G6" s="48" t="s">
        <v>87</v>
      </c>
      <c r="H6" s="48" t="s">
        <v>174</v>
      </c>
      <c r="I6" s="5" t="s">
        <v>173</v>
      </c>
      <c r="J6" s="5" t="s">
        <v>167</v>
      </c>
      <c r="K6" s="766"/>
      <c r="L6" s="766"/>
      <c r="M6" s="42"/>
      <c r="N6" s="42"/>
      <c r="O6" s="42"/>
      <c r="P6" s="42"/>
      <c r="Q6" s="72"/>
      <c r="R6" s="72"/>
      <c r="S6" s="91"/>
      <c r="T6" s="91"/>
      <c r="U6" s="91"/>
    </row>
    <row r="7" spans="2:21" x14ac:dyDescent="0.25">
      <c r="B7" s="763"/>
      <c r="C7" s="89">
        <v>0.6</v>
      </c>
      <c r="D7" s="89"/>
      <c r="E7" s="89">
        <v>0.3</v>
      </c>
      <c r="F7" s="89"/>
      <c r="G7" s="89">
        <v>0.1</v>
      </c>
      <c r="H7" s="89"/>
      <c r="I7" s="5" t="s">
        <v>175</v>
      </c>
      <c r="J7" s="71"/>
      <c r="K7" s="42"/>
      <c r="L7" s="42"/>
      <c r="M7" s="42"/>
      <c r="N7" s="42"/>
      <c r="O7" s="42"/>
      <c r="P7" s="42"/>
      <c r="Q7" s="72"/>
      <c r="R7" s="72"/>
      <c r="S7" s="91"/>
      <c r="T7" s="91"/>
      <c r="U7" s="91"/>
    </row>
    <row r="8" spans="2:21" x14ac:dyDescent="0.25">
      <c r="B8" s="764"/>
      <c r="C8" s="49">
        <v>1</v>
      </c>
      <c r="D8" s="49" t="s">
        <v>177</v>
      </c>
      <c r="E8" s="49">
        <v>3</v>
      </c>
      <c r="F8" s="49" t="s">
        <v>179</v>
      </c>
      <c r="G8" s="49">
        <v>5</v>
      </c>
      <c r="H8" s="49" t="s">
        <v>178</v>
      </c>
      <c r="I8" s="6" t="s">
        <v>180</v>
      </c>
      <c r="J8" s="6" t="s">
        <v>176</v>
      </c>
      <c r="K8" s="84"/>
      <c r="L8" s="84"/>
      <c r="M8" s="84"/>
      <c r="N8" s="84"/>
      <c r="O8" s="84"/>
      <c r="P8" s="42"/>
      <c r="Q8" s="84"/>
      <c r="R8" s="84"/>
      <c r="S8" s="91"/>
      <c r="T8" s="91"/>
      <c r="U8" s="91"/>
    </row>
    <row r="9" spans="2:21" x14ac:dyDescent="0.25">
      <c r="B9" s="7" t="s">
        <v>6</v>
      </c>
      <c r="C9" s="8">
        <f>'FGP TOTAL'!F10</f>
        <v>3.3707564846877225</v>
      </c>
      <c r="D9" s="8">
        <f>C9*60%</f>
        <v>2.0224538908126335</v>
      </c>
      <c r="E9" s="8">
        <v>6.3423828522887202</v>
      </c>
      <c r="F9" s="115">
        <f>E9*30%</f>
        <v>1.902714855686616</v>
      </c>
      <c r="G9" s="149">
        <v>2.8206049555263557</v>
      </c>
      <c r="H9" s="149">
        <f>G9*10%</f>
        <v>0.28206049555263557</v>
      </c>
      <c r="I9" s="30">
        <f>D9+F9+H9</f>
        <v>4.2072292420518851</v>
      </c>
      <c r="J9" s="97">
        <f>Datos!K$58*I9%*22.5%</f>
        <v>251580.26022196081</v>
      </c>
      <c r="K9" s="29"/>
      <c r="L9" s="12"/>
      <c r="M9" s="31"/>
      <c r="N9" s="13"/>
      <c r="O9" s="13"/>
      <c r="P9" s="31"/>
      <c r="Q9" s="74"/>
      <c r="R9" s="92"/>
      <c r="S9" s="93"/>
      <c r="T9" s="91"/>
      <c r="U9" s="91"/>
    </row>
    <row r="10" spans="2:21" x14ac:dyDescent="0.25">
      <c r="B10" s="10" t="s">
        <v>7</v>
      </c>
      <c r="C10" s="8">
        <f>'FGP TOTAL'!F11</f>
        <v>1.4036216369164749</v>
      </c>
      <c r="D10" s="115">
        <f t="shared" ref="D10:D29" si="0">C10*60%</f>
        <v>0.8421729821498849</v>
      </c>
      <c r="E10" s="115">
        <v>4.8747369734108545</v>
      </c>
      <c r="F10" s="115">
        <f t="shared" ref="F10:F29" si="1">E10*30%</f>
        <v>1.4624210920232563</v>
      </c>
      <c r="G10" s="115">
        <v>4.9572518357647981</v>
      </c>
      <c r="H10" s="115">
        <f t="shared" ref="H10:H29" si="2">G10*10%</f>
        <v>0.49572518357647982</v>
      </c>
      <c r="I10" s="21">
        <f t="shared" ref="I10:I29" si="3">D10+F10+H10</f>
        <v>2.8003192577496212</v>
      </c>
      <c r="J10" s="97">
        <f>Datos!K$58*I10%*22.5%</f>
        <v>167451.07219915299</v>
      </c>
      <c r="K10" s="29"/>
      <c r="L10" s="12"/>
      <c r="M10" s="31"/>
      <c r="N10" s="45"/>
      <c r="O10" s="13"/>
      <c r="P10" s="31"/>
      <c r="Q10" s="74"/>
      <c r="R10" s="92"/>
      <c r="S10" s="93"/>
      <c r="T10" s="91"/>
      <c r="U10" s="91"/>
    </row>
    <row r="11" spans="2:21" x14ac:dyDescent="0.25">
      <c r="B11" s="10" t="s">
        <v>8</v>
      </c>
      <c r="C11" s="8">
        <f>'FGP TOTAL'!F12</f>
        <v>1.0311720319010782</v>
      </c>
      <c r="D11" s="115">
        <f t="shared" si="0"/>
        <v>0.61870321914064685</v>
      </c>
      <c r="E11" s="115">
        <v>3.9787441024444163</v>
      </c>
      <c r="F11" s="115">
        <f t="shared" si="1"/>
        <v>1.1936232307333248</v>
      </c>
      <c r="G11" s="115">
        <v>9.2249554222010755</v>
      </c>
      <c r="H11" s="115">
        <f t="shared" si="2"/>
        <v>0.92249554222010755</v>
      </c>
      <c r="I11" s="21">
        <f t="shared" si="3"/>
        <v>2.7348219920940791</v>
      </c>
      <c r="J11" s="97">
        <f>Datos!K$58*I11%*22.5%</f>
        <v>163534.52328074607</v>
      </c>
      <c r="K11" s="29"/>
      <c r="L11" s="12"/>
      <c r="M11" s="31"/>
      <c r="N11" s="13"/>
      <c r="O11" s="13"/>
      <c r="P11" s="31"/>
      <c r="Q11" s="74"/>
      <c r="R11" s="92"/>
      <c r="S11" s="93"/>
      <c r="T11" s="91"/>
      <c r="U11" s="91"/>
    </row>
    <row r="12" spans="2:21" x14ac:dyDescent="0.25">
      <c r="B12" s="10" t="s">
        <v>9</v>
      </c>
      <c r="C12" s="8">
        <f>'FGP TOTAL'!F13</f>
        <v>11.447687005923617</v>
      </c>
      <c r="D12" s="115">
        <f t="shared" si="0"/>
        <v>6.8686122035541706</v>
      </c>
      <c r="E12" s="115">
        <v>4.7794922547559926</v>
      </c>
      <c r="F12" s="115">
        <f t="shared" si="1"/>
        <v>1.4338476764267978</v>
      </c>
      <c r="G12" s="115">
        <v>2.0136960554155237</v>
      </c>
      <c r="H12" s="115">
        <f t="shared" si="2"/>
        <v>0.20136960554155237</v>
      </c>
      <c r="I12" s="21">
        <f t="shared" si="3"/>
        <v>8.5038294855225214</v>
      </c>
      <c r="J12" s="97">
        <f>Datos!K$58*I12%*22.5%</f>
        <v>508504.65039255761</v>
      </c>
      <c r="K12" s="29"/>
      <c r="L12" s="12"/>
      <c r="M12" s="31"/>
      <c r="N12" s="13"/>
      <c r="O12" s="13"/>
      <c r="P12" s="31"/>
      <c r="Q12" s="74"/>
      <c r="R12" s="92"/>
      <c r="S12" s="93"/>
      <c r="T12" s="91"/>
      <c r="U12" s="91"/>
    </row>
    <row r="13" spans="2:21" x14ac:dyDescent="0.25">
      <c r="B13" s="10" t="s">
        <v>10</v>
      </c>
      <c r="C13" s="8">
        <f>'FGP TOTAL'!F14</f>
        <v>6.4885126808905982</v>
      </c>
      <c r="D13" s="115">
        <f t="shared" si="0"/>
        <v>3.8931076085343586</v>
      </c>
      <c r="E13" s="115">
        <v>4.8396147698123535</v>
      </c>
      <c r="F13" s="115">
        <f t="shared" si="1"/>
        <v>1.451884430943706</v>
      </c>
      <c r="G13" s="115">
        <v>2.4433467495582448</v>
      </c>
      <c r="H13" s="115">
        <f t="shared" si="2"/>
        <v>0.2443346749558245</v>
      </c>
      <c r="I13" s="21">
        <f t="shared" si="3"/>
        <v>5.5893267144338896</v>
      </c>
      <c r="J13" s="97">
        <f>Datos!K$58*I13%*22.5%</f>
        <v>334225.73108876817</v>
      </c>
      <c r="K13" s="29"/>
      <c r="L13" s="12"/>
      <c r="M13" s="31"/>
      <c r="N13" s="13"/>
      <c r="O13" s="13"/>
      <c r="P13" s="31"/>
      <c r="Q13" s="74"/>
      <c r="R13" s="92"/>
      <c r="S13" s="93"/>
      <c r="T13" s="91"/>
      <c r="U13" s="91"/>
    </row>
    <row r="14" spans="2:21" x14ac:dyDescent="0.25">
      <c r="B14" s="10" t="s">
        <v>11</v>
      </c>
      <c r="C14" s="8">
        <f>'FGP TOTAL'!F15</f>
        <v>3.1613515100292262</v>
      </c>
      <c r="D14" s="115">
        <f t="shared" si="0"/>
        <v>1.8968109060175355</v>
      </c>
      <c r="E14" s="115">
        <v>4.8859352991166247</v>
      </c>
      <c r="F14" s="115">
        <f t="shared" si="1"/>
        <v>1.4657805897349874</v>
      </c>
      <c r="G14" s="115">
        <v>3.4820658654571881</v>
      </c>
      <c r="H14" s="115">
        <f t="shared" si="2"/>
        <v>0.34820658654571884</v>
      </c>
      <c r="I14" s="21">
        <f t="shared" si="3"/>
        <v>3.7107980822982416</v>
      </c>
      <c r="J14" s="97">
        <f>Datos!K$58*I14%*22.5%</f>
        <v>221895.09852342666</v>
      </c>
      <c r="K14" s="29"/>
      <c r="L14" s="12"/>
      <c r="M14" s="31"/>
      <c r="N14" s="13"/>
      <c r="O14" s="13"/>
      <c r="P14" s="31"/>
      <c r="Q14" s="74"/>
      <c r="R14" s="92"/>
      <c r="S14" s="93"/>
      <c r="T14" s="91"/>
      <c r="U14" s="91"/>
    </row>
    <row r="15" spans="2:21" x14ac:dyDescent="0.25">
      <c r="B15" s="10" t="s">
        <v>12</v>
      </c>
      <c r="C15" s="8">
        <f>'FGP TOTAL'!F16</f>
        <v>1.050711580592804</v>
      </c>
      <c r="D15" s="115">
        <f t="shared" si="0"/>
        <v>0.63042694835568236</v>
      </c>
      <c r="E15" s="115">
        <v>4.009568855684738</v>
      </c>
      <c r="F15" s="115">
        <f t="shared" si="1"/>
        <v>1.2028706567054213</v>
      </c>
      <c r="G15" s="115">
        <v>7.488505990683672</v>
      </c>
      <c r="H15" s="115">
        <f t="shared" si="2"/>
        <v>0.74885059906836726</v>
      </c>
      <c r="I15" s="21">
        <f t="shared" si="3"/>
        <v>2.5821482041294708</v>
      </c>
      <c r="J15" s="97">
        <f>Datos!K$58*I15%*22.5%</f>
        <v>154405.06798002278</v>
      </c>
      <c r="K15" s="29"/>
      <c r="L15" s="12"/>
      <c r="M15" s="31"/>
      <c r="N15" s="13"/>
      <c r="O15" s="13"/>
      <c r="P15" s="31"/>
      <c r="Q15" s="74"/>
      <c r="R15" s="92"/>
      <c r="S15" s="93"/>
      <c r="T15" s="91"/>
      <c r="U15" s="91"/>
    </row>
    <row r="16" spans="2:21" x14ac:dyDescent="0.25">
      <c r="B16" s="10" t="s">
        <v>13</v>
      </c>
      <c r="C16" s="8">
        <f>'FGP TOTAL'!F17</f>
        <v>2.5136892050445216</v>
      </c>
      <c r="D16" s="115">
        <f t="shared" si="0"/>
        <v>1.5082135230267129</v>
      </c>
      <c r="E16" s="115">
        <v>7.5369203970102321</v>
      </c>
      <c r="F16" s="115">
        <f t="shared" si="1"/>
        <v>2.2610761191030697</v>
      </c>
      <c r="G16" s="115">
        <v>3.1779671266271556</v>
      </c>
      <c r="H16" s="115">
        <f t="shared" si="2"/>
        <v>0.31779671266271559</v>
      </c>
      <c r="I16" s="21">
        <f t="shared" si="3"/>
        <v>4.0870863547924987</v>
      </c>
      <c r="J16" s="97">
        <f>Datos!K$58*I16%*22.5%</f>
        <v>244396.05962304294</v>
      </c>
      <c r="K16" s="29"/>
      <c r="L16" s="12"/>
      <c r="M16" s="31"/>
      <c r="N16" s="13"/>
      <c r="O16" s="13"/>
      <c r="P16" s="31"/>
      <c r="Q16" s="74"/>
      <c r="R16" s="92"/>
      <c r="S16" s="93"/>
      <c r="T16" s="91"/>
      <c r="U16" s="91"/>
    </row>
    <row r="17" spans="2:21" x14ac:dyDescent="0.25">
      <c r="B17" s="10" t="s">
        <v>14</v>
      </c>
      <c r="C17" s="8">
        <f>'FGP TOTAL'!F18</f>
        <v>1.6311836450290742</v>
      </c>
      <c r="D17" s="115">
        <f t="shared" si="0"/>
        <v>0.9787101870174445</v>
      </c>
      <c r="E17" s="115">
        <v>5.9361538809380185</v>
      </c>
      <c r="F17" s="115">
        <f t="shared" si="1"/>
        <v>1.7808461642814055</v>
      </c>
      <c r="G17" s="115">
        <v>4.2557391103303006</v>
      </c>
      <c r="H17" s="115">
        <f t="shared" si="2"/>
        <v>0.42557391103303011</v>
      </c>
      <c r="I17" s="21">
        <f t="shared" si="3"/>
        <v>3.1851302623318798</v>
      </c>
      <c r="J17" s="97">
        <f>Datos!K$58*I17%*22.5%</f>
        <v>190461.66827065765</v>
      </c>
      <c r="K17" s="29"/>
      <c r="L17" s="12"/>
      <c r="M17" s="31"/>
      <c r="N17" s="13"/>
      <c r="O17" s="13"/>
      <c r="P17" s="31"/>
      <c r="Q17" s="74"/>
      <c r="R17" s="92"/>
      <c r="S17" s="93"/>
      <c r="T17" s="91"/>
      <c r="U17" s="91"/>
    </row>
    <row r="18" spans="2:21" x14ac:dyDescent="0.25">
      <c r="B18" s="10" t="s">
        <v>15</v>
      </c>
      <c r="C18" s="8">
        <f>'FGP TOTAL'!F19</f>
        <v>1.2534804821107137</v>
      </c>
      <c r="D18" s="115">
        <f t="shared" si="0"/>
        <v>0.75208828926642823</v>
      </c>
      <c r="E18" s="115">
        <v>4.8230792844533079</v>
      </c>
      <c r="F18" s="115">
        <f t="shared" si="1"/>
        <v>1.4469237853359924</v>
      </c>
      <c r="G18" s="115">
        <v>5.9388800438645157</v>
      </c>
      <c r="H18" s="115">
        <f t="shared" si="2"/>
        <v>0.59388800438645162</v>
      </c>
      <c r="I18" s="21">
        <f t="shared" si="3"/>
        <v>2.7929000789888727</v>
      </c>
      <c r="J18" s="97">
        <f>Datos!K$58*I18%*22.5%</f>
        <v>167007.42655593337</v>
      </c>
      <c r="K18" s="29"/>
      <c r="L18" s="12"/>
      <c r="M18" s="31"/>
      <c r="N18" s="13"/>
      <c r="O18" s="13"/>
      <c r="P18" s="31"/>
      <c r="Q18" s="74"/>
      <c r="R18" s="92"/>
      <c r="S18" s="93"/>
      <c r="T18" s="91"/>
      <c r="U18" s="91"/>
    </row>
    <row r="19" spans="2:21" x14ac:dyDescent="0.25">
      <c r="B19" s="10" t="s">
        <v>16</v>
      </c>
      <c r="C19" s="8">
        <f>'FGP TOTAL'!F20</f>
        <v>3.1699231045024834</v>
      </c>
      <c r="D19" s="115">
        <f t="shared" si="0"/>
        <v>1.90195386270149</v>
      </c>
      <c r="E19" s="115">
        <v>4.1063513873665975</v>
      </c>
      <c r="F19" s="115">
        <f t="shared" si="1"/>
        <v>1.2319054162099792</v>
      </c>
      <c r="G19" s="115">
        <v>3.7362127730583583</v>
      </c>
      <c r="H19" s="115">
        <f t="shared" si="2"/>
        <v>0.37362127730583583</v>
      </c>
      <c r="I19" s="21">
        <f t="shared" si="3"/>
        <v>3.5074805562173053</v>
      </c>
      <c r="J19" s="97">
        <f>Datos!K$58*I19%*22.5%</f>
        <v>209737.29271435199</v>
      </c>
      <c r="K19" s="29"/>
      <c r="L19" s="12"/>
      <c r="M19" s="31"/>
      <c r="N19" s="13"/>
      <c r="O19" s="13"/>
      <c r="P19" s="31"/>
      <c r="Q19" s="74"/>
      <c r="R19" s="92"/>
      <c r="S19" s="93"/>
      <c r="T19" s="91"/>
      <c r="U19" s="91"/>
    </row>
    <row r="20" spans="2:21" x14ac:dyDescent="0.25">
      <c r="B20" s="10" t="s">
        <v>17</v>
      </c>
      <c r="C20" s="8">
        <f>'FGP TOTAL'!F21</f>
        <v>2.1630833407835541</v>
      </c>
      <c r="D20" s="115">
        <f t="shared" si="0"/>
        <v>1.2978500044701324</v>
      </c>
      <c r="E20" s="115">
        <v>5.2077346983143604</v>
      </c>
      <c r="F20" s="115">
        <f t="shared" si="1"/>
        <v>1.5623204094943082</v>
      </c>
      <c r="G20" s="115">
        <v>4.1880996023664245</v>
      </c>
      <c r="H20" s="115">
        <f t="shared" si="2"/>
        <v>0.41880996023664246</v>
      </c>
      <c r="I20" s="21">
        <f t="shared" si="3"/>
        <v>3.2789803742010832</v>
      </c>
      <c r="J20" s="97">
        <f>Datos!K$58*I20%*22.5%</f>
        <v>196073.63619717819</v>
      </c>
      <c r="K20" s="29"/>
      <c r="L20" s="12"/>
      <c r="M20" s="31"/>
      <c r="N20" s="13"/>
      <c r="O20" s="13"/>
      <c r="P20" s="31"/>
      <c r="Q20" s="74"/>
      <c r="R20" s="92"/>
      <c r="S20" s="93"/>
      <c r="T20" s="91"/>
      <c r="U20" s="91"/>
    </row>
    <row r="21" spans="2:21" x14ac:dyDescent="0.25">
      <c r="B21" s="10" t="s">
        <v>18</v>
      </c>
      <c r="C21" s="8">
        <f>'FGP TOTAL'!F22</f>
        <v>3.9742704697510276</v>
      </c>
      <c r="D21" s="115">
        <f t="shared" si="0"/>
        <v>2.3845622818506165</v>
      </c>
      <c r="E21" s="115">
        <v>4.8186763914888475</v>
      </c>
      <c r="F21" s="115">
        <f t="shared" si="1"/>
        <v>1.4456029174466543</v>
      </c>
      <c r="G21" s="115">
        <v>3.0661737236653881</v>
      </c>
      <c r="H21" s="115">
        <f t="shared" si="2"/>
        <v>0.30661737236653885</v>
      </c>
      <c r="I21" s="21">
        <f t="shared" si="3"/>
        <v>4.1367825716638098</v>
      </c>
      <c r="J21" s="97">
        <f>Datos!K$58*I21%*22.5%</f>
        <v>247367.75107440623</v>
      </c>
      <c r="K21" s="29"/>
      <c r="L21" s="12"/>
      <c r="M21" s="31"/>
      <c r="N21" s="13"/>
      <c r="O21" s="13"/>
      <c r="P21" s="31"/>
      <c r="Q21" s="74"/>
      <c r="R21" s="92"/>
      <c r="S21" s="93"/>
      <c r="T21" s="91"/>
      <c r="U21" s="91"/>
    </row>
    <row r="22" spans="2:21" x14ac:dyDescent="0.25">
      <c r="B22" s="10" t="s">
        <v>19</v>
      </c>
      <c r="C22" s="8">
        <f>'FGP TOTAL'!F23</f>
        <v>0.69217929563613667</v>
      </c>
      <c r="D22" s="115">
        <f t="shared" si="0"/>
        <v>0.415307577381682</v>
      </c>
      <c r="E22" s="115">
        <v>2.9110739805529704</v>
      </c>
      <c r="F22" s="115">
        <f t="shared" si="1"/>
        <v>0.87332219416589107</v>
      </c>
      <c r="G22" s="115">
        <v>25.29707748946517</v>
      </c>
      <c r="H22" s="115">
        <f t="shared" si="2"/>
        <v>2.5297077489465174</v>
      </c>
      <c r="I22" s="21">
        <f t="shared" si="3"/>
        <v>3.8183375204940906</v>
      </c>
      <c r="J22" s="97">
        <f>Datos!K$58*I22%*22.5%</f>
        <v>228325.6489614723</v>
      </c>
      <c r="K22" s="29"/>
      <c r="L22" s="12"/>
      <c r="M22" s="31"/>
      <c r="N22" s="13"/>
      <c r="O22" s="13"/>
      <c r="P22" s="31"/>
      <c r="Q22" s="74"/>
      <c r="R22" s="92"/>
      <c r="S22" s="93"/>
      <c r="T22" s="91"/>
      <c r="U22" s="91"/>
    </row>
    <row r="23" spans="2:21" x14ac:dyDescent="0.25">
      <c r="B23" s="10" t="s">
        <v>20</v>
      </c>
      <c r="C23" s="8">
        <f>'FGP TOTAL'!F24</f>
        <v>2.0656621003724496</v>
      </c>
      <c r="D23" s="115">
        <f t="shared" si="0"/>
        <v>1.2393972602234697</v>
      </c>
      <c r="E23" s="115">
        <v>4.3304906658341711</v>
      </c>
      <c r="F23" s="115">
        <f t="shared" si="1"/>
        <v>1.2991471997502513</v>
      </c>
      <c r="G23" s="115">
        <v>4.3612986072213884</v>
      </c>
      <c r="H23" s="115">
        <f t="shared" si="2"/>
        <v>0.43612986072213888</v>
      </c>
      <c r="I23" s="21">
        <f t="shared" si="3"/>
        <v>2.9746743206958604</v>
      </c>
      <c r="J23" s="97">
        <f>Datos!K$58*I23%*22.5%</f>
        <v>177877.00565402655</v>
      </c>
      <c r="K23" s="29"/>
      <c r="L23" s="12"/>
      <c r="M23" s="31"/>
      <c r="N23" s="13"/>
      <c r="O23" s="13"/>
      <c r="P23" s="31"/>
      <c r="Q23" s="74"/>
      <c r="R23" s="92"/>
      <c r="S23" s="93"/>
      <c r="T23" s="91"/>
      <c r="U23" s="91"/>
    </row>
    <row r="24" spans="2:21" x14ac:dyDescent="0.25">
      <c r="B24" s="10" t="s">
        <v>27</v>
      </c>
      <c r="C24" s="8">
        <f>'FGP TOTAL'!F25</f>
        <v>8.5784148817626882</v>
      </c>
      <c r="D24" s="115">
        <f t="shared" si="0"/>
        <v>5.1470489290576129</v>
      </c>
      <c r="E24" s="115">
        <v>5.3086882085256404</v>
      </c>
      <c r="F24" s="115">
        <f t="shared" si="1"/>
        <v>1.5926064625576921</v>
      </c>
      <c r="G24" s="115">
        <v>2.0369973389567817</v>
      </c>
      <c r="H24" s="115">
        <f t="shared" si="2"/>
        <v>0.20369973389567819</v>
      </c>
      <c r="I24" s="21">
        <f t="shared" si="3"/>
        <v>6.9433551255109824</v>
      </c>
      <c r="J24" s="97">
        <f>Datos!K$58*I24%*22.5%</f>
        <v>415192.75247231603</v>
      </c>
      <c r="K24" s="29"/>
      <c r="L24" s="12"/>
      <c r="M24" s="31"/>
      <c r="N24" s="13"/>
      <c r="O24" s="13"/>
      <c r="P24" s="31"/>
      <c r="Q24" s="74"/>
      <c r="R24" s="92"/>
      <c r="S24" s="93"/>
      <c r="T24" s="91"/>
      <c r="U24" s="91"/>
    </row>
    <row r="25" spans="2:21" x14ac:dyDescent="0.25">
      <c r="B25" s="10" t="s">
        <v>21</v>
      </c>
      <c r="C25" s="8">
        <f>'FGP TOTAL'!F26</f>
        <v>3.6642183857936419</v>
      </c>
      <c r="D25" s="115">
        <f t="shared" si="0"/>
        <v>2.1985310314761852</v>
      </c>
      <c r="E25" s="115">
        <v>4.864796565169633</v>
      </c>
      <c r="F25" s="115">
        <f t="shared" si="1"/>
        <v>1.4594389695508898</v>
      </c>
      <c r="G25" s="115">
        <v>3.4542452578956691</v>
      </c>
      <c r="H25" s="115">
        <f t="shared" si="2"/>
        <v>0.34542452578956695</v>
      </c>
      <c r="I25" s="21">
        <f t="shared" si="3"/>
        <v>4.003394526816642</v>
      </c>
      <c r="J25" s="97">
        <f>Datos!K$58*I25%*22.5%</f>
        <v>239391.52798255906</v>
      </c>
      <c r="K25" s="29"/>
      <c r="L25" s="12"/>
      <c r="M25" s="31"/>
      <c r="N25" s="13"/>
      <c r="O25" s="13"/>
      <c r="P25" s="31"/>
      <c r="Q25" s="74"/>
      <c r="R25" s="92"/>
      <c r="S25" s="93"/>
      <c r="T25" s="91"/>
      <c r="U25" s="91"/>
    </row>
    <row r="26" spans="2:21" x14ac:dyDescent="0.25">
      <c r="B26" s="10" t="s">
        <v>22</v>
      </c>
      <c r="C26" s="8">
        <f>'FGP TOTAL'!F27</f>
        <v>35.046669106037996</v>
      </c>
      <c r="D26" s="115">
        <f t="shared" si="0"/>
        <v>21.028001463622797</v>
      </c>
      <c r="E26" s="115">
        <v>5.7978942563195188</v>
      </c>
      <c r="F26" s="115">
        <f t="shared" si="1"/>
        <v>1.7393682768958556</v>
      </c>
      <c r="G26" s="115">
        <v>1.431810857275081</v>
      </c>
      <c r="H26" s="115">
        <f t="shared" si="2"/>
        <v>0.1431810857275081</v>
      </c>
      <c r="I26" s="21">
        <f t="shared" si="3"/>
        <v>22.910550826246162</v>
      </c>
      <c r="J26" s="97">
        <f>Datos!K$58*I26%*22.5%</f>
        <v>1369985.3293195919</v>
      </c>
      <c r="K26" s="29"/>
      <c r="L26" s="12"/>
      <c r="M26" s="31"/>
      <c r="N26" s="13"/>
      <c r="O26" s="13"/>
      <c r="P26" s="31"/>
      <c r="Q26" s="74"/>
      <c r="R26" s="92"/>
      <c r="S26" s="93"/>
      <c r="T26" s="91"/>
      <c r="U26" s="91"/>
    </row>
    <row r="27" spans="2:21" x14ac:dyDescent="0.25">
      <c r="B27" s="10" t="s">
        <v>23</v>
      </c>
      <c r="C27" s="8">
        <f>'FGP TOTAL'!F28</f>
        <v>2.7677955057194654</v>
      </c>
      <c r="D27" s="115">
        <f t="shared" si="0"/>
        <v>1.6606773034316793</v>
      </c>
      <c r="E27" s="115">
        <v>4.8271447622480794</v>
      </c>
      <c r="F27" s="115">
        <f t="shared" si="1"/>
        <v>1.4481434286744237</v>
      </c>
      <c r="G27" s="115">
        <v>4.064411112252305</v>
      </c>
      <c r="H27" s="115">
        <f t="shared" si="2"/>
        <v>0.40644111122523052</v>
      </c>
      <c r="I27" s="21">
        <f t="shared" si="3"/>
        <v>3.5152618433313334</v>
      </c>
      <c r="J27" s="97">
        <f>Datos!K$58*I27%*22.5%</f>
        <v>210202.5914001099</v>
      </c>
      <c r="K27" s="29"/>
      <c r="L27" s="12"/>
      <c r="M27" s="31"/>
      <c r="N27" s="13"/>
      <c r="O27" s="13"/>
      <c r="P27" s="31"/>
      <c r="Q27" s="74"/>
      <c r="R27" s="92"/>
      <c r="S27" s="93"/>
      <c r="T27" s="91"/>
      <c r="U27" s="91"/>
    </row>
    <row r="28" spans="2:21" x14ac:dyDescent="0.25">
      <c r="B28" s="10" t="s">
        <v>24</v>
      </c>
      <c r="C28" s="8">
        <f>'FGP TOTAL'!F29</f>
        <v>4.5256175465147246</v>
      </c>
      <c r="D28" s="115">
        <f t="shared" si="0"/>
        <v>2.7153705279088345</v>
      </c>
      <c r="E28" s="115">
        <v>5.8205204142649469</v>
      </c>
      <c r="F28" s="115">
        <f t="shared" si="1"/>
        <v>1.7461561242794841</v>
      </c>
      <c r="G28" s="149">
        <v>2.5606600824146004</v>
      </c>
      <c r="H28" s="149">
        <f t="shared" si="2"/>
        <v>0.25606600824146003</v>
      </c>
      <c r="I28" s="31">
        <f t="shared" si="3"/>
        <v>4.7175926604297782</v>
      </c>
      <c r="J28" s="97">
        <f>Datos!K$58*I28%*22.5%</f>
        <v>282098.53108771943</v>
      </c>
      <c r="K28" s="29"/>
      <c r="L28" s="12"/>
      <c r="M28" s="31"/>
      <c r="N28" s="13"/>
      <c r="O28" s="13"/>
      <c r="P28" s="31"/>
      <c r="Q28" s="74"/>
      <c r="R28" s="92"/>
      <c r="S28" s="93"/>
      <c r="T28" s="91"/>
      <c r="U28" s="91"/>
    </row>
    <row r="29" spans="2:21" x14ac:dyDescent="0.25">
      <c r="B29" s="14" t="s">
        <v>25</v>
      </c>
      <c r="C29" s="99">
        <v>99.999999999999986</v>
      </c>
      <c r="D29" s="75">
        <f t="shared" si="0"/>
        <v>59.999999999999986</v>
      </c>
      <c r="E29" s="99">
        <v>100.00000000000003</v>
      </c>
      <c r="F29" s="75">
        <f t="shared" si="1"/>
        <v>30.000000000000007</v>
      </c>
      <c r="G29" s="99">
        <v>99.999999999999972</v>
      </c>
      <c r="H29" s="46">
        <f t="shared" si="2"/>
        <v>9.9999999999999982</v>
      </c>
      <c r="I29" s="46">
        <f t="shared" si="3"/>
        <v>100</v>
      </c>
      <c r="J29" s="98">
        <f>SUM(J9:J28)</f>
        <v>5979713.6250000019</v>
      </c>
      <c r="K29" s="94"/>
      <c r="L29" s="95"/>
      <c r="M29" s="87"/>
      <c r="N29" s="96"/>
      <c r="O29" s="96"/>
      <c r="P29" s="87"/>
      <c r="Q29" s="72"/>
      <c r="R29" s="92"/>
      <c r="S29" s="93"/>
      <c r="T29" s="91"/>
      <c r="U29" s="91"/>
    </row>
    <row r="30" spans="2:21" x14ac:dyDescent="0.25">
      <c r="B30" s="2" t="s">
        <v>77</v>
      </c>
      <c r="C30" s="2"/>
      <c r="D30" s="2"/>
      <c r="E30" s="2"/>
      <c r="F30" s="2"/>
      <c r="G30" s="2"/>
      <c r="H30" s="2"/>
      <c r="I30" s="90"/>
      <c r="J30" s="70"/>
      <c r="K30" s="70"/>
      <c r="L30" s="31"/>
      <c r="M30" s="88"/>
      <c r="N30" s="88"/>
      <c r="O30" s="91"/>
      <c r="P30" s="91"/>
      <c r="Q30" s="91"/>
      <c r="R30" s="91"/>
      <c r="S30" s="91"/>
      <c r="T30" s="91"/>
      <c r="U30" s="91"/>
    </row>
    <row r="31" spans="2:21" x14ac:dyDescent="0.25">
      <c r="B31" s="2" t="s">
        <v>26</v>
      </c>
      <c r="C31" s="2"/>
      <c r="D31" s="2"/>
      <c r="E31" s="2"/>
      <c r="F31" s="2"/>
      <c r="G31" s="2"/>
      <c r="H31" s="2"/>
      <c r="I31" s="2"/>
      <c r="J31" s="78"/>
      <c r="K31" s="2"/>
      <c r="L31" s="2"/>
      <c r="M31" s="3"/>
      <c r="N31" s="3"/>
    </row>
  </sheetData>
  <mergeCells count="3">
    <mergeCell ref="B5:B8"/>
    <mergeCell ref="K5:L6"/>
    <mergeCell ref="B4:I4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2.7109375" customWidth="1"/>
    <col min="4" max="4" width="13.28515625" customWidth="1"/>
    <col min="5" max="5" width="15.42578125" customWidth="1"/>
    <col min="6" max="6" width="13.42578125" customWidth="1"/>
    <col min="7" max="7" width="12.42578125" customWidth="1"/>
    <col min="8" max="8" width="13" customWidth="1"/>
    <col min="9" max="9" width="16" customWidth="1"/>
    <col min="10" max="10" width="16.5703125" customWidth="1"/>
    <col min="11" max="11" width="14.85546875" hidden="1" customWidth="1"/>
    <col min="12" max="13" width="15.42578125" style="1" hidden="1" customWidth="1"/>
    <col min="14" max="14" width="15.85546875" hidden="1" customWidth="1"/>
    <col min="15" max="15" width="14.7109375" hidden="1" customWidth="1"/>
    <col min="16" max="16" width="15.140625" customWidth="1"/>
  </cols>
  <sheetData>
    <row r="2" spans="2:18" x14ac:dyDescent="0.25">
      <c r="B2" s="2"/>
      <c r="C2" s="2"/>
      <c r="D2" s="2"/>
      <c r="E2" s="2"/>
      <c r="F2" s="2"/>
      <c r="G2" s="2"/>
      <c r="H2" s="2"/>
      <c r="I2" s="2"/>
      <c r="J2" s="2"/>
      <c r="K2" s="2"/>
      <c r="N2" s="101"/>
    </row>
    <row r="3" spans="2:18" x14ac:dyDescent="0.25">
      <c r="B3" s="150"/>
      <c r="C3" s="150"/>
      <c r="D3" s="150"/>
      <c r="E3" s="150"/>
      <c r="F3" s="150"/>
      <c r="G3" s="150"/>
      <c r="H3" s="150"/>
      <c r="I3" s="151" t="s">
        <v>188</v>
      </c>
      <c r="J3" s="2"/>
      <c r="K3" s="2"/>
      <c r="L3" s="3"/>
      <c r="M3" s="3"/>
    </row>
    <row r="4" spans="2:18" x14ac:dyDescent="0.25">
      <c r="B4" s="807" t="s">
        <v>241</v>
      </c>
      <c r="C4" s="807"/>
      <c r="D4" s="807"/>
      <c r="E4" s="807"/>
      <c r="F4" s="807"/>
      <c r="G4" s="807"/>
      <c r="H4" s="807"/>
      <c r="I4" s="807"/>
      <c r="J4" s="103"/>
      <c r="K4" s="103"/>
      <c r="L4" s="103"/>
      <c r="M4" s="103"/>
      <c r="N4" s="103"/>
    </row>
    <row r="5" spans="2:18" x14ac:dyDescent="0.25">
      <c r="B5" s="808" t="s">
        <v>0</v>
      </c>
      <c r="C5" s="811" t="s">
        <v>189</v>
      </c>
      <c r="D5" s="812"/>
      <c r="E5" s="813" t="s">
        <v>190</v>
      </c>
      <c r="F5" s="814"/>
      <c r="G5" s="811" t="s">
        <v>191</v>
      </c>
      <c r="H5" s="812"/>
      <c r="I5" s="152" t="s">
        <v>172</v>
      </c>
      <c r="J5" s="153"/>
      <c r="K5" s="153"/>
      <c r="L5" s="103"/>
      <c r="M5"/>
    </row>
    <row r="6" spans="2:18" ht="15" customHeight="1" x14ac:dyDescent="0.25">
      <c r="B6" s="809"/>
      <c r="C6" s="154" t="s">
        <v>192</v>
      </c>
      <c r="D6" s="155" t="s">
        <v>192</v>
      </c>
      <c r="E6" s="299" t="s">
        <v>192</v>
      </c>
      <c r="F6" s="155" t="s">
        <v>192</v>
      </c>
      <c r="G6" s="155" t="s">
        <v>102</v>
      </c>
      <c r="H6" s="155" t="s">
        <v>88</v>
      </c>
      <c r="I6" s="156" t="s">
        <v>173</v>
      </c>
      <c r="J6" s="153"/>
      <c r="K6" s="153"/>
      <c r="L6" s="84" t="s">
        <v>193</v>
      </c>
      <c r="M6" s="103"/>
      <c r="N6" s="72"/>
      <c r="O6" s="72"/>
      <c r="P6" s="91"/>
      <c r="Q6" s="91"/>
      <c r="R6" s="91"/>
    </row>
    <row r="7" spans="2:18" x14ac:dyDescent="0.25">
      <c r="B7" s="809"/>
      <c r="C7" s="157" t="s">
        <v>194</v>
      </c>
      <c r="D7" s="158" t="s">
        <v>195</v>
      </c>
      <c r="E7" s="300" t="s">
        <v>196</v>
      </c>
      <c r="F7" s="158" t="s">
        <v>197</v>
      </c>
      <c r="G7" s="158" t="s">
        <v>198</v>
      </c>
      <c r="H7" s="159" t="s">
        <v>199</v>
      </c>
      <c r="I7" s="156" t="s">
        <v>200</v>
      </c>
      <c r="J7" s="153"/>
      <c r="L7" s="160"/>
      <c r="M7" s="103"/>
      <c r="N7" s="72"/>
      <c r="O7" s="72"/>
      <c r="P7" s="91"/>
      <c r="Q7" s="91"/>
      <c r="R7" s="91"/>
    </row>
    <row r="8" spans="2:18" ht="33.75" x14ac:dyDescent="0.25">
      <c r="B8" s="810"/>
      <c r="C8" s="161">
        <v>1</v>
      </c>
      <c r="D8" s="162" t="s">
        <v>177</v>
      </c>
      <c r="E8" s="301">
        <v>3</v>
      </c>
      <c r="F8" s="162" t="s">
        <v>179</v>
      </c>
      <c r="G8" s="162">
        <v>5</v>
      </c>
      <c r="H8" s="162" t="s">
        <v>178</v>
      </c>
      <c r="I8" s="163" t="s">
        <v>180</v>
      </c>
      <c r="J8" s="164"/>
      <c r="K8" s="165" t="s">
        <v>201</v>
      </c>
      <c r="L8" s="165" t="s">
        <v>202</v>
      </c>
      <c r="M8" s="103"/>
      <c r="N8" s="84"/>
      <c r="O8" s="84"/>
      <c r="P8" s="91"/>
      <c r="Q8" s="91"/>
      <c r="R8" s="91"/>
    </row>
    <row r="9" spans="2:18" x14ac:dyDescent="0.25">
      <c r="B9" s="166" t="s">
        <v>6</v>
      </c>
      <c r="C9" s="167">
        <v>3.3707564846877225</v>
      </c>
      <c r="D9" s="168">
        <f>C9*60%</f>
        <v>2.0224538908126335</v>
      </c>
      <c r="E9" s="337">
        <f>'I S A N'!E9</f>
        <v>3.8848419068517934</v>
      </c>
      <c r="F9" s="168">
        <f>E9*30%</f>
        <v>1.165452572055538</v>
      </c>
      <c r="G9" s="298">
        <f>'I S A N'!I9</f>
        <v>4.6150181798460652</v>
      </c>
      <c r="H9" s="169">
        <f>G9*10%</f>
        <v>0.46150181798460654</v>
      </c>
      <c r="I9" s="169">
        <f t="shared" ref="I9:I29" si="0">D9+F9+H9</f>
        <v>3.6494082808527777</v>
      </c>
      <c r="J9" s="170"/>
      <c r="K9" s="170" t="s">
        <v>203</v>
      </c>
      <c r="L9" s="171">
        <f t="shared" ref="L9:L28" si="1">D9+F9</f>
        <v>3.1879064628681713</v>
      </c>
      <c r="M9" s="31">
        <f>1/L9</f>
        <v>0.31368548972428012</v>
      </c>
      <c r="N9" s="172">
        <f>M9/M$29%</f>
        <v>4.6150181798460643</v>
      </c>
      <c r="O9" s="173">
        <f>N9*0.1</f>
        <v>0.46150181798460643</v>
      </c>
      <c r="P9" s="174"/>
      <c r="Q9" s="91"/>
      <c r="R9" s="91"/>
    </row>
    <row r="10" spans="2:18" x14ac:dyDescent="0.25">
      <c r="B10" s="166" t="s">
        <v>7</v>
      </c>
      <c r="C10" s="167">
        <v>1.4036216369164749</v>
      </c>
      <c r="D10" s="168">
        <f t="shared" ref="D10:D29" si="2">C10*60%</f>
        <v>0.8421729821498849</v>
      </c>
      <c r="E10" s="337">
        <f>'I S A N'!E10</f>
        <v>4.5114137972574149</v>
      </c>
      <c r="F10" s="168">
        <f t="shared" ref="F10:F29" si="3">E10*30%</f>
        <v>1.3534241391772244</v>
      </c>
      <c r="G10" s="298">
        <f>'I S A N'!I10</f>
        <v>6.7007950315095544</v>
      </c>
      <c r="H10" s="169">
        <f t="shared" ref="H10:H29" si="4">G10*10%</f>
        <v>0.67007950315095544</v>
      </c>
      <c r="I10" s="169">
        <f t="shared" si="0"/>
        <v>2.8656766244780649</v>
      </c>
      <c r="J10" s="170"/>
      <c r="K10" s="170">
        <f t="shared" ref="K10:K28" si="5">MINVERSE(L10)</f>
        <v>0.45545696443414846</v>
      </c>
      <c r="L10" s="171">
        <f t="shared" si="1"/>
        <v>2.1955971213271095</v>
      </c>
      <c r="M10" s="31">
        <f t="shared" ref="M10:M28" si="6">1/L10</f>
        <v>0.45545696443414846</v>
      </c>
      <c r="N10" s="172">
        <f t="shared" ref="N10:N28" si="7">M10/M$29%</f>
        <v>6.7007950315095544</v>
      </c>
      <c r="O10" s="173">
        <f t="shared" ref="O10:O28" si="8">N10*0.1</f>
        <v>0.67007950315095544</v>
      </c>
      <c r="P10" s="174"/>
      <c r="Q10" s="91"/>
      <c r="R10" s="91"/>
    </row>
    <row r="11" spans="2:18" x14ac:dyDescent="0.25">
      <c r="B11" s="166" t="s">
        <v>8</v>
      </c>
      <c r="C11" s="167">
        <v>1.0311720319010782</v>
      </c>
      <c r="D11" s="168">
        <f t="shared" si="2"/>
        <v>0.61870321914064685</v>
      </c>
      <c r="E11" s="337">
        <f>'I S A N'!E11</f>
        <v>4.8347781445821196</v>
      </c>
      <c r="F11" s="168">
        <f t="shared" si="3"/>
        <v>1.4504334433746358</v>
      </c>
      <c r="G11" s="298">
        <f>'I S A N'!I11</f>
        <v>7.1103308680930164</v>
      </c>
      <c r="H11" s="169">
        <f t="shared" si="4"/>
        <v>0.71103308680930166</v>
      </c>
      <c r="I11" s="169">
        <f t="shared" si="0"/>
        <v>2.780169749324584</v>
      </c>
      <c r="J11" s="170"/>
      <c r="K11" s="170">
        <f t="shared" si="5"/>
        <v>0.48329335520273498</v>
      </c>
      <c r="L11" s="171">
        <f t="shared" si="1"/>
        <v>2.0691366625152825</v>
      </c>
      <c r="M11" s="31">
        <f t="shared" si="6"/>
        <v>0.48329335520273498</v>
      </c>
      <c r="N11" s="172">
        <f t="shared" si="7"/>
        <v>7.1103308680930164</v>
      </c>
      <c r="O11" s="173">
        <f t="shared" si="8"/>
        <v>0.71103308680930166</v>
      </c>
      <c r="P11" s="174"/>
      <c r="Q11" s="91"/>
      <c r="R11" s="91"/>
    </row>
    <row r="12" spans="2:18" x14ac:dyDescent="0.25">
      <c r="B12" s="166" t="s">
        <v>9</v>
      </c>
      <c r="C12" s="167">
        <v>11.447687005923617</v>
      </c>
      <c r="D12" s="168">
        <f t="shared" si="2"/>
        <v>6.8686122035541706</v>
      </c>
      <c r="E12" s="337">
        <f>'I S A N'!E12</f>
        <v>5.2250088975614357</v>
      </c>
      <c r="F12" s="168">
        <f t="shared" si="3"/>
        <v>1.5675026692684306</v>
      </c>
      <c r="G12" s="298">
        <f>'I S A N'!I12</f>
        <v>1.7439599274758182</v>
      </c>
      <c r="H12" s="169">
        <f t="shared" si="4"/>
        <v>0.17439599274758183</v>
      </c>
      <c r="I12" s="169">
        <f t="shared" si="0"/>
        <v>8.6105108655701841</v>
      </c>
      <c r="J12" s="170"/>
      <c r="K12" s="170">
        <f t="shared" si="5"/>
        <v>0.11853797809481635</v>
      </c>
      <c r="L12" s="171">
        <f t="shared" si="1"/>
        <v>8.4361148728226016</v>
      </c>
      <c r="M12" s="31">
        <f t="shared" si="6"/>
        <v>0.11853797809481635</v>
      </c>
      <c r="N12" s="172">
        <f t="shared" si="7"/>
        <v>1.7439599274758182</v>
      </c>
      <c r="O12" s="173">
        <f t="shared" si="8"/>
        <v>0.17439599274758183</v>
      </c>
      <c r="P12" s="174"/>
      <c r="Q12" s="91"/>
      <c r="R12" s="91"/>
    </row>
    <row r="13" spans="2:18" x14ac:dyDescent="0.25">
      <c r="B13" s="166" t="s">
        <v>10</v>
      </c>
      <c r="C13" s="167">
        <v>6.4885126808905982</v>
      </c>
      <c r="D13" s="168">
        <f t="shared" si="2"/>
        <v>3.8931076085343586</v>
      </c>
      <c r="E13" s="337">
        <f>'I S A N'!E13</f>
        <v>4.6008523090930273</v>
      </c>
      <c r="F13" s="168">
        <f t="shared" si="3"/>
        <v>1.3802556927279082</v>
      </c>
      <c r="G13" s="298">
        <f>'I S A N'!I13</f>
        <v>2.7899170683468286</v>
      </c>
      <c r="H13" s="169">
        <f t="shared" si="4"/>
        <v>0.27899170683468288</v>
      </c>
      <c r="I13" s="169">
        <f t="shared" si="0"/>
        <v>5.5523550080969493</v>
      </c>
      <c r="J13" s="170"/>
      <c r="K13" s="170">
        <f t="shared" si="5"/>
        <v>0.18963229780899668</v>
      </c>
      <c r="L13" s="171">
        <f t="shared" si="1"/>
        <v>5.2733633012622665</v>
      </c>
      <c r="M13" s="31">
        <f t="shared" si="6"/>
        <v>0.18963229780899668</v>
      </c>
      <c r="N13" s="172">
        <f t="shared" si="7"/>
        <v>2.7899170683468282</v>
      </c>
      <c r="O13" s="173">
        <f t="shared" si="8"/>
        <v>0.27899170683468283</v>
      </c>
      <c r="P13" s="174"/>
      <c r="Q13" s="91"/>
      <c r="R13" s="91"/>
    </row>
    <row r="14" spans="2:18" x14ac:dyDescent="0.25">
      <c r="B14" s="166" t="s">
        <v>11</v>
      </c>
      <c r="C14" s="167">
        <v>3.1613515100292262</v>
      </c>
      <c r="D14" s="168">
        <f t="shared" si="2"/>
        <v>1.8968109060175355</v>
      </c>
      <c r="E14" s="337">
        <f>'I S A N'!E14</f>
        <v>3.5550825776286001</v>
      </c>
      <c r="F14" s="168">
        <f t="shared" si="3"/>
        <v>1.0665247732885801</v>
      </c>
      <c r="G14" s="298">
        <f>'I S A N'!I14</f>
        <v>4.9647585943521406</v>
      </c>
      <c r="H14" s="169">
        <f t="shared" si="4"/>
        <v>0.49647585943521411</v>
      </c>
      <c r="I14" s="169">
        <f t="shared" si="0"/>
        <v>3.45981153874133</v>
      </c>
      <c r="J14" s="170"/>
      <c r="K14" s="170">
        <f t="shared" si="5"/>
        <v>0.33745755061882038</v>
      </c>
      <c r="L14" s="171">
        <f t="shared" si="1"/>
        <v>2.9633356793061156</v>
      </c>
      <c r="M14" s="31">
        <f t="shared" si="6"/>
        <v>0.33745755061882038</v>
      </c>
      <c r="N14" s="172">
        <f t="shared" si="7"/>
        <v>4.9647585943521397</v>
      </c>
      <c r="O14" s="173">
        <f t="shared" si="8"/>
        <v>0.496475859435214</v>
      </c>
      <c r="P14" s="174"/>
      <c r="Q14" s="91"/>
      <c r="R14" s="91"/>
    </row>
    <row r="15" spans="2:18" x14ac:dyDescent="0.25">
      <c r="B15" s="166" t="s">
        <v>12</v>
      </c>
      <c r="C15" s="167">
        <v>1.050711580592804</v>
      </c>
      <c r="D15" s="168">
        <f t="shared" si="2"/>
        <v>0.63042694835568236</v>
      </c>
      <c r="E15" s="337">
        <f>'I S A N'!E15</f>
        <v>1.7084008041049661</v>
      </c>
      <c r="F15" s="168">
        <f t="shared" si="3"/>
        <v>0.51252024123148976</v>
      </c>
      <c r="G15" s="298">
        <f>'I S A N'!I15</f>
        <v>12.872201284382509</v>
      </c>
      <c r="H15" s="169">
        <f t="shared" si="4"/>
        <v>1.287220128438251</v>
      </c>
      <c r="I15" s="169">
        <f t="shared" si="0"/>
        <v>2.4301673180254229</v>
      </c>
      <c r="J15" s="170"/>
      <c r="K15" s="170">
        <f t="shared" si="5"/>
        <v>0.87493106340389704</v>
      </c>
      <c r="L15" s="171">
        <f t="shared" si="1"/>
        <v>1.1429471895871721</v>
      </c>
      <c r="M15" s="31">
        <f t="shared" si="6"/>
        <v>0.87493106340389704</v>
      </c>
      <c r="N15" s="172">
        <f t="shared" si="7"/>
        <v>12.872201284382509</v>
      </c>
      <c r="O15" s="173">
        <f t="shared" si="8"/>
        <v>1.287220128438251</v>
      </c>
      <c r="P15" s="174"/>
      <c r="Q15" s="91"/>
      <c r="R15" s="91"/>
    </row>
    <row r="16" spans="2:18" x14ac:dyDescent="0.25">
      <c r="B16" s="166" t="s">
        <v>13</v>
      </c>
      <c r="C16" s="167">
        <v>2.5136892050445216</v>
      </c>
      <c r="D16" s="168">
        <f t="shared" si="2"/>
        <v>1.5082135230267129</v>
      </c>
      <c r="E16" s="337">
        <f>'I S A N'!E16</f>
        <v>3.4807245821792883</v>
      </c>
      <c r="F16" s="168">
        <f t="shared" si="3"/>
        <v>1.0442173746537864</v>
      </c>
      <c r="G16" s="298">
        <f>'I S A N'!I16</f>
        <v>5.7640135508291372</v>
      </c>
      <c r="H16" s="169">
        <f t="shared" si="4"/>
        <v>0.57640135508291379</v>
      </c>
      <c r="I16" s="169">
        <f t="shared" si="0"/>
        <v>3.1288322527634129</v>
      </c>
      <c r="J16" s="170"/>
      <c r="K16" s="170">
        <f t="shared" si="5"/>
        <v>0.39178337831153115</v>
      </c>
      <c r="L16" s="171">
        <f t="shared" si="1"/>
        <v>2.552430897680499</v>
      </c>
      <c r="M16" s="31">
        <f t="shared" si="6"/>
        <v>0.39178337831153115</v>
      </c>
      <c r="N16" s="172">
        <f t="shared" si="7"/>
        <v>5.7640135508291372</v>
      </c>
      <c r="O16" s="173">
        <f t="shared" si="8"/>
        <v>0.57640135508291379</v>
      </c>
      <c r="P16" s="174"/>
      <c r="Q16" s="91"/>
      <c r="R16" s="91"/>
    </row>
    <row r="17" spans="2:18" x14ac:dyDescent="0.25">
      <c r="B17" s="166" t="s">
        <v>14</v>
      </c>
      <c r="C17" s="167">
        <v>1.6311836450290742</v>
      </c>
      <c r="D17" s="168">
        <f t="shared" si="2"/>
        <v>0.9787101870174445</v>
      </c>
      <c r="E17" s="337">
        <f>'I S A N'!E17</f>
        <v>5.0344554631640293</v>
      </c>
      <c r="F17" s="168">
        <f t="shared" si="3"/>
        <v>1.5103366389492088</v>
      </c>
      <c r="G17" s="298">
        <f>'I S A N'!I17</f>
        <v>5.9107953005551375</v>
      </c>
      <c r="H17" s="169">
        <f t="shared" si="4"/>
        <v>0.59107953005551372</v>
      </c>
      <c r="I17" s="169">
        <f t="shared" si="0"/>
        <v>3.0801263560221672</v>
      </c>
      <c r="J17" s="170"/>
      <c r="K17" s="170">
        <f t="shared" si="5"/>
        <v>0.40176021984304661</v>
      </c>
      <c r="L17" s="171">
        <f t="shared" si="1"/>
        <v>2.4890468259666534</v>
      </c>
      <c r="M17" s="31">
        <f t="shared" si="6"/>
        <v>0.40176021984304661</v>
      </c>
      <c r="N17" s="172">
        <f t="shared" si="7"/>
        <v>5.9107953005551375</v>
      </c>
      <c r="O17" s="173">
        <f t="shared" si="8"/>
        <v>0.59107953005551372</v>
      </c>
      <c r="P17" s="174"/>
      <c r="Q17" s="91"/>
      <c r="R17" s="91"/>
    </row>
    <row r="18" spans="2:18" x14ac:dyDescent="0.25">
      <c r="B18" s="166" t="s">
        <v>15</v>
      </c>
      <c r="C18" s="167">
        <v>1.2534804821107137</v>
      </c>
      <c r="D18" s="168">
        <f t="shared" si="2"/>
        <v>0.75208828926642823</v>
      </c>
      <c r="E18" s="337">
        <f>'I S A N'!E18</f>
        <v>4.5353288463137531</v>
      </c>
      <c r="F18" s="168">
        <f t="shared" si="3"/>
        <v>1.3605986538941259</v>
      </c>
      <c r="G18" s="298">
        <f>'I S A N'!I18</f>
        <v>6.9637606884510923</v>
      </c>
      <c r="H18" s="169">
        <f t="shared" si="4"/>
        <v>0.69637606884510928</v>
      </c>
      <c r="I18" s="169">
        <f t="shared" si="0"/>
        <v>2.8090630120056632</v>
      </c>
      <c r="J18" s="170"/>
      <c r="K18" s="170">
        <f t="shared" si="5"/>
        <v>0.47333089421379776</v>
      </c>
      <c r="L18" s="171">
        <f t="shared" si="1"/>
        <v>2.1126869431605542</v>
      </c>
      <c r="M18" s="31">
        <f t="shared" si="6"/>
        <v>0.47333089421379776</v>
      </c>
      <c r="N18" s="172">
        <f t="shared" si="7"/>
        <v>6.9637606884510923</v>
      </c>
      <c r="O18" s="173">
        <f t="shared" si="8"/>
        <v>0.69637606884510928</v>
      </c>
      <c r="P18" s="174"/>
      <c r="Q18" s="91"/>
      <c r="R18" s="91"/>
    </row>
    <row r="19" spans="2:18" x14ac:dyDescent="0.25">
      <c r="B19" s="166" t="s">
        <v>16</v>
      </c>
      <c r="C19" s="167">
        <v>3.1699231045024834</v>
      </c>
      <c r="D19" s="168">
        <f t="shared" si="2"/>
        <v>1.90195386270149</v>
      </c>
      <c r="E19" s="337">
        <f>'I S A N'!E19</f>
        <v>5.2871034657198006</v>
      </c>
      <c r="F19" s="168">
        <f t="shared" si="3"/>
        <v>1.58613103971594</v>
      </c>
      <c r="G19" s="298">
        <f>'I S A N'!I19</f>
        <v>4.217857848468368</v>
      </c>
      <c r="H19" s="169">
        <f t="shared" si="4"/>
        <v>0.42178578484683682</v>
      </c>
      <c r="I19" s="169">
        <f t="shared" si="0"/>
        <v>3.909870687264267</v>
      </c>
      <c r="J19" s="170"/>
      <c r="K19" s="170">
        <f t="shared" si="5"/>
        <v>0.2866902692956087</v>
      </c>
      <c r="L19" s="171">
        <f t="shared" si="1"/>
        <v>3.4880849024174303</v>
      </c>
      <c r="M19" s="31">
        <f t="shared" si="6"/>
        <v>0.2866902692956087</v>
      </c>
      <c r="N19" s="172">
        <f t="shared" si="7"/>
        <v>4.2178578484683671</v>
      </c>
      <c r="O19" s="173">
        <f t="shared" si="8"/>
        <v>0.42178578484683671</v>
      </c>
      <c r="P19" s="174"/>
      <c r="Q19" s="91"/>
      <c r="R19" s="91"/>
    </row>
    <row r="20" spans="2:18" x14ac:dyDescent="0.25">
      <c r="B20" s="166" t="s">
        <v>17</v>
      </c>
      <c r="C20" s="167">
        <v>2.1630833407835541</v>
      </c>
      <c r="D20" s="168">
        <f t="shared" si="2"/>
        <v>1.2978500044701324</v>
      </c>
      <c r="E20" s="337">
        <f>'I S A N'!E20</f>
        <v>17.003449679391466</v>
      </c>
      <c r="F20" s="168">
        <f t="shared" si="3"/>
        <v>5.1010349038174398</v>
      </c>
      <c r="G20" s="298">
        <f>'I S A N'!I20</f>
        <v>2.2991890763233891</v>
      </c>
      <c r="H20" s="169">
        <f t="shared" si="4"/>
        <v>0.22991890763233891</v>
      </c>
      <c r="I20" s="169">
        <f t="shared" si="0"/>
        <v>6.6288038159199107</v>
      </c>
      <c r="J20" s="170"/>
      <c r="K20" s="170">
        <f t="shared" si="5"/>
        <v>0.15627722866289426</v>
      </c>
      <c r="L20" s="171">
        <f t="shared" si="1"/>
        <v>6.3988849082875721</v>
      </c>
      <c r="M20" s="31">
        <f t="shared" si="6"/>
        <v>0.15627722866289426</v>
      </c>
      <c r="N20" s="172">
        <f t="shared" si="7"/>
        <v>2.2991890763233886</v>
      </c>
      <c r="O20" s="173">
        <f t="shared" si="8"/>
        <v>0.22991890763233888</v>
      </c>
      <c r="P20" s="174"/>
      <c r="Q20" s="91"/>
      <c r="R20" s="91"/>
    </row>
    <row r="21" spans="2:18" x14ac:dyDescent="0.25">
      <c r="B21" s="166" t="s">
        <v>18</v>
      </c>
      <c r="C21" s="167">
        <v>3.9742704697510276</v>
      </c>
      <c r="D21" s="168">
        <f t="shared" si="2"/>
        <v>2.3845622818506165</v>
      </c>
      <c r="E21" s="337">
        <f>'I S A N'!E21</f>
        <v>5.2108643348570878</v>
      </c>
      <c r="F21" s="168">
        <f t="shared" si="3"/>
        <v>1.5632593004571262</v>
      </c>
      <c r="G21" s="298">
        <f>'I S A N'!I21</f>
        <v>3.7266745659729561</v>
      </c>
      <c r="H21" s="169">
        <f t="shared" si="4"/>
        <v>0.37266745659729561</v>
      </c>
      <c r="I21" s="169">
        <f t="shared" si="0"/>
        <v>4.3204890389050385</v>
      </c>
      <c r="J21" s="170"/>
      <c r="K21" s="170">
        <f t="shared" si="5"/>
        <v>0.25330425378936172</v>
      </c>
      <c r="L21" s="171">
        <f t="shared" si="1"/>
        <v>3.9478215823077427</v>
      </c>
      <c r="M21" s="31">
        <f t="shared" si="6"/>
        <v>0.25330425378936172</v>
      </c>
      <c r="N21" s="172">
        <f t="shared" si="7"/>
        <v>3.7266745659729561</v>
      </c>
      <c r="O21" s="173">
        <f t="shared" si="8"/>
        <v>0.37266745659729561</v>
      </c>
      <c r="P21" s="174"/>
      <c r="Q21" s="91"/>
      <c r="R21" s="91"/>
    </row>
    <row r="22" spans="2:18" x14ac:dyDescent="0.25">
      <c r="B22" s="166" t="s">
        <v>19</v>
      </c>
      <c r="C22" s="167">
        <v>0.69217929563613667</v>
      </c>
      <c r="D22" s="168">
        <f t="shared" si="2"/>
        <v>0.415307577381682</v>
      </c>
      <c r="E22" s="337">
        <f>'I S A N'!E22</f>
        <v>4.7948218205361703</v>
      </c>
      <c r="F22" s="168">
        <f t="shared" si="3"/>
        <v>1.4384465461608511</v>
      </c>
      <c r="G22" s="298">
        <f>'I S A N'!I22</f>
        <v>7.9364604479855192</v>
      </c>
      <c r="H22" s="169">
        <f t="shared" si="4"/>
        <v>0.79364604479855194</v>
      </c>
      <c r="I22" s="169">
        <f t="shared" si="0"/>
        <v>2.6474001683410848</v>
      </c>
      <c r="J22" s="170"/>
      <c r="K22" s="170">
        <f t="shared" si="5"/>
        <v>0.53944586679542761</v>
      </c>
      <c r="L22" s="171">
        <f t="shared" si="1"/>
        <v>1.853754123542533</v>
      </c>
      <c r="M22" s="31">
        <f t="shared" si="6"/>
        <v>0.53944586679542761</v>
      </c>
      <c r="N22" s="172">
        <f t="shared" si="7"/>
        <v>7.9364604479855183</v>
      </c>
      <c r="O22" s="173">
        <f t="shared" si="8"/>
        <v>0.79364604479855183</v>
      </c>
      <c r="P22" s="174"/>
      <c r="Q22" s="91"/>
      <c r="R22" s="91"/>
    </row>
    <row r="23" spans="2:18" x14ac:dyDescent="0.25">
      <c r="B23" s="166" t="s">
        <v>20</v>
      </c>
      <c r="C23" s="167">
        <v>2.0656621003724496</v>
      </c>
      <c r="D23" s="168">
        <f t="shared" si="2"/>
        <v>1.2393972602234697</v>
      </c>
      <c r="E23" s="337">
        <f>'I S A N'!E23</f>
        <v>4.8387207324478618</v>
      </c>
      <c r="F23" s="168">
        <f t="shared" si="3"/>
        <v>1.4516162197343585</v>
      </c>
      <c r="G23" s="298">
        <f>'I S A N'!I23</f>
        <v>5.4671767315026374</v>
      </c>
      <c r="H23" s="169">
        <f t="shared" si="4"/>
        <v>0.54671767315026376</v>
      </c>
      <c r="I23" s="169">
        <f t="shared" si="0"/>
        <v>3.2377311531080917</v>
      </c>
      <c r="J23" s="170"/>
      <c r="K23" s="170">
        <f t="shared" si="5"/>
        <v>0.37160720577872075</v>
      </c>
      <c r="L23" s="171">
        <f t="shared" si="1"/>
        <v>2.691013479957828</v>
      </c>
      <c r="M23" s="31">
        <f t="shared" si="6"/>
        <v>0.37160720577872075</v>
      </c>
      <c r="N23" s="172">
        <f t="shared" si="7"/>
        <v>5.4671767315026374</v>
      </c>
      <c r="O23" s="173">
        <f t="shared" si="8"/>
        <v>0.54671767315026376</v>
      </c>
      <c r="P23" s="174"/>
      <c r="Q23" s="91"/>
      <c r="R23" s="91"/>
    </row>
    <row r="24" spans="2:18" x14ac:dyDescent="0.25">
      <c r="B24" s="166" t="s">
        <v>27</v>
      </c>
      <c r="C24" s="167">
        <v>8.5784148817626882</v>
      </c>
      <c r="D24" s="168">
        <f t="shared" si="2"/>
        <v>5.1470489290576129</v>
      </c>
      <c r="E24" s="337">
        <f>'I S A N'!E24</f>
        <v>3.695881442398667</v>
      </c>
      <c r="F24" s="168">
        <f t="shared" si="3"/>
        <v>1.1087644327196</v>
      </c>
      <c r="G24" s="298">
        <f>'I S A N'!I24</f>
        <v>2.3517719329154949</v>
      </c>
      <c r="H24" s="169">
        <f t="shared" si="4"/>
        <v>0.23517719329154951</v>
      </c>
      <c r="I24" s="169">
        <f t="shared" si="0"/>
        <v>6.4909905550687617</v>
      </c>
      <c r="J24" s="170"/>
      <c r="K24" s="170">
        <f t="shared" si="5"/>
        <v>0.15985131623490606</v>
      </c>
      <c r="L24" s="171">
        <f t="shared" si="1"/>
        <v>6.2558133617772125</v>
      </c>
      <c r="M24" s="31">
        <f t="shared" si="6"/>
        <v>0.15985131623490606</v>
      </c>
      <c r="N24" s="172">
        <f t="shared" si="7"/>
        <v>2.3517719329154949</v>
      </c>
      <c r="O24" s="173">
        <f t="shared" si="8"/>
        <v>0.23517719329154951</v>
      </c>
      <c r="P24" s="174"/>
      <c r="Q24" s="91"/>
      <c r="R24" s="91"/>
    </row>
    <row r="25" spans="2:18" x14ac:dyDescent="0.25">
      <c r="B25" s="166" t="s">
        <v>21</v>
      </c>
      <c r="C25" s="167">
        <v>3.6642183857936419</v>
      </c>
      <c r="D25" s="168">
        <f t="shared" si="2"/>
        <v>2.1985310314761852</v>
      </c>
      <c r="E25" s="337">
        <f>'I S A N'!E25</f>
        <v>5.4821250075189605</v>
      </c>
      <c r="F25" s="168">
        <f t="shared" si="3"/>
        <v>1.6446375022556881</v>
      </c>
      <c r="G25" s="298">
        <f>'I S A N'!I25</f>
        <v>3.8281553756111717</v>
      </c>
      <c r="H25" s="169">
        <f t="shared" si="4"/>
        <v>0.38281553756111719</v>
      </c>
      <c r="I25" s="169">
        <f t="shared" si="0"/>
        <v>4.2259840712929906</v>
      </c>
      <c r="J25" s="170"/>
      <c r="K25" s="170">
        <f t="shared" si="5"/>
        <v>0.26020196388029831</v>
      </c>
      <c r="L25" s="171">
        <f t="shared" si="1"/>
        <v>3.8431685337318733</v>
      </c>
      <c r="M25" s="31">
        <f t="shared" si="6"/>
        <v>0.26020196388029831</v>
      </c>
      <c r="N25" s="172">
        <f t="shared" si="7"/>
        <v>3.8281553756111713</v>
      </c>
      <c r="O25" s="173">
        <f t="shared" si="8"/>
        <v>0.38281553756111714</v>
      </c>
      <c r="P25" s="174"/>
      <c r="Q25" s="91"/>
      <c r="R25" s="91"/>
    </row>
    <row r="26" spans="2:18" x14ac:dyDescent="0.25">
      <c r="B26" s="166" t="s">
        <v>22</v>
      </c>
      <c r="C26" s="167">
        <v>35.046669106037996</v>
      </c>
      <c r="D26" s="175">
        <f t="shared" si="2"/>
        <v>21.028001463622797</v>
      </c>
      <c r="E26" s="337">
        <f>'I S A N'!E26</f>
        <v>5.6240481790839914</v>
      </c>
      <c r="F26" s="175">
        <f t="shared" si="3"/>
        <v>1.6872144537251974</v>
      </c>
      <c r="G26" s="298">
        <f>'I S A N'!I26</f>
        <v>0.64768243169325923</v>
      </c>
      <c r="H26" s="176">
        <f t="shared" si="4"/>
        <v>6.4768243169325931E-2</v>
      </c>
      <c r="I26" s="169">
        <f t="shared" si="0"/>
        <v>22.779984160517319</v>
      </c>
      <c r="J26" s="170"/>
      <c r="K26" s="170">
        <f t="shared" si="5"/>
        <v>4.4023354373500939E-2</v>
      </c>
      <c r="L26" s="171">
        <f t="shared" si="1"/>
        <v>22.715215917347994</v>
      </c>
      <c r="M26" s="31">
        <f t="shared" si="6"/>
        <v>4.4023354373500939E-2</v>
      </c>
      <c r="N26" s="172">
        <f t="shared" si="7"/>
        <v>0.64768243169325912</v>
      </c>
      <c r="O26" s="173">
        <f t="shared" si="8"/>
        <v>6.4768243169325918E-2</v>
      </c>
      <c r="P26" s="174"/>
      <c r="Q26" s="91"/>
      <c r="R26" s="91"/>
    </row>
    <row r="27" spans="2:18" x14ac:dyDescent="0.25">
      <c r="B27" s="166" t="s">
        <v>23</v>
      </c>
      <c r="C27" s="167">
        <v>2.7677955057194654</v>
      </c>
      <c r="D27" s="168">
        <f t="shared" si="2"/>
        <v>1.6606773034316793</v>
      </c>
      <c r="E27" s="337">
        <f>'I S A N'!E27</f>
        <v>1.9781634217326987</v>
      </c>
      <c r="F27" s="168">
        <f t="shared" si="3"/>
        <v>0.59344902651980957</v>
      </c>
      <c r="G27" s="298">
        <f>'I S A N'!I27</f>
        <v>6.5268064554758114</v>
      </c>
      <c r="H27" s="169">
        <f t="shared" si="4"/>
        <v>0.65268064554758121</v>
      </c>
      <c r="I27" s="169">
        <f t="shared" si="0"/>
        <v>2.90680697549907</v>
      </c>
      <c r="J27" s="170"/>
      <c r="K27" s="170">
        <f t="shared" si="5"/>
        <v>0.44363085897742083</v>
      </c>
      <c r="L27" s="171">
        <f t="shared" si="1"/>
        <v>2.2541263299514886</v>
      </c>
      <c r="M27" s="31">
        <f t="shared" si="6"/>
        <v>0.44363085897742083</v>
      </c>
      <c r="N27" s="172">
        <f t="shared" si="7"/>
        <v>6.5268064554758114</v>
      </c>
      <c r="O27" s="173">
        <f t="shared" si="8"/>
        <v>0.65268064554758121</v>
      </c>
      <c r="P27" s="174"/>
      <c r="Q27" s="91"/>
      <c r="R27" s="91"/>
    </row>
    <row r="28" spans="2:18" x14ac:dyDescent="0.25">
      <c r="B28" s="166" t="s">
        <v>24</v>
      </c>
      <c r="C28" s="167">
        <v>4.5256175465147246</v>
      </c>
      <c r="D28" s="168">
        <f t="shared" si="2"/>
        <v>2.7153705279088345</v>
      </c>
      <c r="E28" s="337">
        <f>'I S A N'!E28</f>
        <v>4.7139345875768743</v>
      </c>
      <c r="F28" s="168">
        <f t="shared" si="3"/>
        <v>1.4141803762730623</v>
      </c>
      <c r="G28" s="298">
        <f>'I S A N'!I28</f>
        <v>3.5626746402100626</v>
      </c>
      <c r="H28" s="169">
        <f t="shared" si="4"/>
        <v>0.35626746402100629</v>
      </c>
      <c r="I28" s="169">
        <f t="shared" si="0"/>
        <v>4.4858183682029029</v>
      </c>
      <c r="J28" s="170"/>
      <c r="K28" s="170">
        <f t="shared" si="5"/>
        <v>0.24215708274411246</v>
      </c>
      <c r="L28" s="171">
        <f t="shared" si="1"/>
        <v>4.1295509041818965</v>
      </c>
      <c r="M28" s="31">
        <f t="shared" si="6"/>
        <v>0.24215708274411246</v>
      </c>
      <c r="N28" s="172">
        <f t="shared" si="7"/>
        <v>3.5626746402100617</v>
      </c>
      <c r="O28" s="173">
        <f t="shared" si="8"/>
        <v>0.35626746402100617</v>
      </c>
      <c r="P28" s="174"/>
      <c r="Q28" s="91"/>
      <c r="R28" s="91"/>
    </row>
    <row r="29" spans="2:18" x14ac:dyDescent="0.25">
      <c r="B29" s="177" t="s">
        <v>25</v>
      </c>
      <c r="C29" s="178">
        <v>99.999999999999986</v>
      </c>
      <c r="D29" s="179">
        <f t="shared" si="2"/>
        <v>59.999999999999986</v>
      </c>
      <c r="E29" s="302">
        <v>100.00000000000003</v>
      </c>
      <c r="F29" s="179">
        <f t="shared" si="3"/>
        <v>30.000000000000007</v>
      </c>
      <c r="G29" s="180">
        <f>SUM(G9:G28)</f>
        <v>99.999999999999957</v>
      </c>
      <c r="H29" s="181">
        <f t="shared" si="4"/>
        <v>9.9999999999999964</v>
      </c>
      <c r="I29" s="182">
        <f t="shared" si="0"/>
        <v>100</v>
      </c>
      <c r="J29" s="183"/>
      <c r="K29" s="183"/>
      <c r="L29" s="184">
        <f>SUM(L9:L28)</f>
        <v>89.999999999999986</v>
      </c>
      <c r="M29" s="87">
        <f>SUM(M9:M28)</f>
        <v>6.7970585921883231</v>
      </c>
      <c r="N29" s="72">
        <f>SUM(N9:N28)</f>
        <v>99.999999999999957</v>
      </c>
      <c r="O29" s="92"/>
      <c r="P29" s="93"/>
      <c r="Q29" s="91"/>
      <c r="R29" s="91"/>
    </row>
    <row r="30" spans="2:18" x14ac:dyDescent="0.25">
      <c r="D30" s="124"/>
      <c r="E30" s="54"/>
      <c r="F30" s="124"/>
      <c r="H30" s="124"/>
      <c r="L30"/>
      <c r="M30"/>
    </row>
  </sheetData>
  <mergeCells count="5">
    <mergeCell ref="B4:I4"/>
    <mergeCell ref="B5:B8"/>
    <mergeCell ref="C5:D5"/>
    <mergeCell ref="E5:F5"/>
    <mergeCell ref="G5:H5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9"/>
  <sheetViews>
    <sheetView topLeftCell="A10"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7.5703125" customWidth="1"/>
    <col min="4" max="4" width="18" bestFit="1" customWidth="1"/>
    <col min="5" max="5" width="14.85546875" bestFit="1" customWidth="1"/>
    <col min="6" max="7" width="15.42578125" style="1" customWidth="1"/>
    <col min="8" max="8" width="15.85546875" customWidth="1"/>
    <col min="10" max="10" width="15.140625" customWidth="1"/>
  </cols>
  <sheetData>
    <row r="2" spans="2:11" x14ac:dyDescent="0.25">
      <c r="B2" s="2"/>
      <c r="C2" s="2"/>
      <c r="D2" s="2"/>
      <c r="E2" s="2"/>
      <c r="H2" s="36" t="s">
        <v>37</v>
      </c>
    </row>
    <row r="3" spans="2:11" x14ac:dyDescent="0.25">
      <c r="B3" s="2"/>
      <c r="C3" s="2"/>
      <c r="D3" s="2"/>
      <c r="E3" s="2"/>
      <c r="F3" s="3"/>
      <c r="G3" s="3"/>
    </row>
    <row r="4" spans="2:11" ht="15.75" thickBot="1" x14ac:dyDescent="0.3">
      <c r="B4" s="714" t="s">
        <v>239</v>
      </c>
      <c r="C4" s="714"/>
      <c r="D4" s="714"/>
      <c r="E4" s="714"/>
      <c r="F4" s="714"/>
      <c r="G4" s="714"/>
      <c r="H4" s="714"/>
    </row>
    <row r="5" spans="2:11" x14ac:dyDescent="0.25">
      <c r="B5" s="775" t="s">
        <v>0</v>
      </c>
      <c r="C5" s="815" t="s">
        <v>91</v>
      </c>
      <c r="D5" s="689"/>
      <c r="E5" s="135" t="s">
        <v>79</v>
      </c>
      <c r="F5" s="135" t="s">
        <v>1</v>
      </c>
      <c r="G5" s="116" t="s">
        <v>2</v>
      </c>
      <c r="H5" s="304" t="s">
        <v>3</v>
      </c>
    </row>
    <row r="6" spans="2:11" x14ac:dyDescent="0.25">
      <c r="B6" s="658"/>
      <c r="C6" s="816"/>
      <c r="D6" s="817"/>
      <c r="E6" s="5" t="s">
        <v>238</v>
      </c>
      <c r="F6" s="5">
        <v>2010</v>
      </c>
      <c r="G6" s="303" t="s">
        <v>83</v>
      </c>
      <c r="H6" s="305" t="s">
        <v>31</v>
      </c>
    </row>
    <row r="7" spans="2:11" x14ac:dyDescent="0.25">
      <c r="B7" s="658"/>
      <c r="C7" s="5">
        <v>2014</v>
      </c>
      <c r="D7" s="5">
        <v>2013</v>
      </c>
      <c r="E7" s="5"/>
      <c r="F7" s="5"/>
      <c r="G7" s="303" t="s">
        <v>82</v>
      </c>
      <c r="H7" s="305"/>
    </row>
    <row r="8" spans="2:11" ht="15.75" thickBot="1" x14ac:dyDescent="0.3">
      <c r="B8" s="659"/>
      <c r="C8" s="136" t="s">
        <v>4</v>
      </c>
      <c r="D8" s="136" t="s">
        <v>5</v>
      </c>
      <c r="E8" s="136" t="s">
        <v>78</v>
      </c>
      <c r="F8" s="136" t="s">
        <v>28</v>
      </c>
      <c r="G8" s="316" t="s">
        <v>80</v>
      </c>
      <c r="H8" s="317" t="s">
        <v>81</v>
      </c>
    </row>
    <row r="9" spans="2:11" x14ac:dyDescent="0.25">
      <c r="B9" s="10" t="s">
        <v>6</v>
      </c>
      <c r="C9" s="29">
        <f>Datos!Q81</f>
        <v>10595876</v>
      </c>
      <c r="D9" s="12">
        <f>Datos!T81</f>
        <v>9840850</v>
      </c>
      <c r="E9" s="31">
        <f>D9/C9</f>
        <v>0.92874340922826959</v>
      </c>
      <c r="F9" s="13">
        <v>36572</v>
      </c>
      <c r="G9" s="13">
        <f>E9*F9</f>
        <v>33966.003962296272</v>
      </c>
      <c r="H9" s="21">
        <f>G9/G$29*100</f>
        <v>2.5524625129815259</v>
      </c>
      <c r="I9">
        <f>$G$29/G9/100</f>
        <v>0.39177852560580889</v>
      </c>
      <c r="J9" s="35"/>
      <c r="K9" s="35"/>
    </row>
    <row r="10" spans="2:11" x14ac:dyDescent="0.25">
      <c r="B10" s="10" t="s">
        <v>7</v>
      </c>
      <c r="C10" s="29">
        <f>Datos!Q82</f>
        <v>3514317</v>
      </c>
      <c r="D10" s="12">
        <f>Datos!T82</f>
        <v>3790321</v>
      </c>
      <c r="E10" s="31">
        <f t="shared" ref="E10:E28" si="0">D10/C10</f>
        <v>1.0785370244061649</v>
      </c>
      <c r="F10" s="45">
        <v>15229</v>
      </c>
      <c r="G10" s="13">
        <f t="shared" ref="G10:G28" si="1">E10*F10</f>
        <v>16425.040344681485</v>
      </c>
      <c r="H10" s="21">
        <f t="shared" ref="H10:H28" si="2">G10/G$29*100</f>
        <v>1.2343017977783441</v>
      </c>
      <c r="I10">
        <f t="shared" ref="I10:I28" si="3">$G$29/G10/100</f>
        <v>0.81017462811763641</v>
      </c>
      <c r="J10" s="35"/>
      <c r="K10" s="35"/>
    </row>
    <row r="11" spans="2:11" x14ac:dyDescent="0.25">
      <c r="B11" s="10" t="s">
        <v>8</v>
      </c>
      <c r="C11" s="29">
        <f>Datos!Q83</f>
        <v>3191771</v>
      </c>
      <c r="D11" s="12">
        <f>Datos!T83</f>
        <v>3689187</v>
      </c>
      <c r="E11" s="31">
        <f t="shared" si="0"/>
        <v>1.1558432606850555</v>
      </c>
      <c r="F11" s="13">
        <v>11188</v>
      </c>
      <c r="G11" s="13">
        <f t="shared" si="1"/>
        <v>12931.574400544401</v>
      </c>
      <c r="H11" s="21">
        <f t="shared" si="2"/>
        <v>0.97177633635857541</v>
      </c>
      <c r="I11">
        <f t="shared" si="3"/>
        <v>1.0290433740619616</v>
      </c>
      <c r="J11" s="35"/>
      <c r="K11" s="35"/>
    </row>
    <row r="12" spans="2:11" x14ac:dyDescent="0.25">
      <c r="B12" s="10" t="s">
        <v>9</v>
      </c>
      <c r="C12" s="29">
        <f>Datos!Q84</f>
        <v>160191302</v>
      </c>
      <c r="D12" s="12">
        <f>Datos!T84</f>
        <v>200100586</v>
      </c>
      <c r="E12" s="31">
        <f t="shared" si="0"/>
        <v>1.2491351496724834</v>
      </c>
      <c r="F12" s="13">
        <v>124205</v>
      </c>
      <c r="G12" s="13">
        <f t="shared" si="1"/>
        <v>155148.8312650708</v>
      </c>
      <c r="H12" s="21">
        <f t="shared" si="2"/>
        <v>11.659056984642033</v>
      </c>
      <c r="I12">
        <f t="shared" si="3"/>
        <v>8.5770230072402642E-2</v>
      </c>
      <c r="J12" s="35"/>
      <c r="K12" s="35"/>
    </row>
    <row r="13" spans="2:11" x14ac:dyDescent="0.25">
      <c r="B13" s="10" t="s">
        <v>10</v>
      </c>
      <c r="C13" s="29">
        <f>Datos!Q85</f>
        <v>35101187</v>
      </c>
      <c r="D13" s="12">
        <f>Datos!T85</f>
        <v>38608461</v>
      </c>
      <c r="E13" s="31">
        <f t="shared" si="0"/>
        <v>1.0999189571566341</v>
      </c>
      <c r="F13" s="13">
        <v>70399</v>
      </c>
      <c r="G13" s="13">
        <f t="shared" si="1"/>
        <v>77433.194664869879</v>
      </c>
      <c r="H13" s="21">
        <f t="shared" si="2"/>
        <v>5.818916080380732</v>
      </c>
      <c r="I13">
        <f t="shared" si="3"/>
        <v>0.17185331188597758</v>
      </c>
      <c r="J13" s="35"/>
      <c r="K13" s="35"/>
    </row>
    <row r="14" spans="2:11" x14ac:dyDescent="0.25">
      <c r="B14" s="10" t="s">
        <v>11</v>
      </c>
      <c r="C14" s="29">
        <f>Datos!Q86</f>
        <v>66546</v>
      </c>
      <c r="D14" s="12">
        <f>Datos!T86</f>
        <v>56558</v>
      </c>
      <c r="E14" s="31">
        <f t="shared" si="0"/>
        <v>0.84990833408469324</v>
      </c>
      <c r="F14" s="13">
        <v>34300</v>
      </c>
      <c r="G14" s="13">
        <f t="shared" si="1"/>
        <v>29151.855859104977</v>
      </c>
      <c r="H14" s="21">
        <f t="shared" si="2"/>
        <v>2.1906910022975774</v>
      </c>
      <c r="I14">
        <f t="shared" si="3"/>
        <v>0.45647697413793586</v>
      </c>
      <c r="J14" s="35"/>
      <c r="K14" s="35"/>
    </row>
    <row r="15" spans="2:11" x14ac:dyDescent="0.25">
      <c r="B15" s="10" t="s">
        <v>12</v>
      </c>
      <c r="C15" s="29">
        <f>Datos!Q87</f>
        <v>200502</v>
      </c>
      <c r="D15" s="12">
        <f>Datos!T87</f>
        <v>81890</v>
      </c>
      <c r="E15" s="31">
        <f t="shared" si="0"/>
        <v>0.40842485361742026</v>
      </c>
      <c r="F15" s="13">
        <v>11400</v>
      </c>
      <c r="G15" s="13">
        <f t="shared" si="1"/>
        <v>4656.0433312385912</v>
      </c>
      <c r="H15" s="21">
        <f t="shared" si="2"/>
        <v>0.34989032195239389</v>
      </c>
      <c r="I15">
        <f t="shared" si="3"/>
        <v>2.8580384687978313</v>
      </c>
      <c r="J15" s="35"/>
      <c r="K15" s="35"/>
    </row>
    <row r="16" spans="2:11" x14ac:dyDescent="0.25">
      <c r="B16" s="10" t="s">
        <v>13</v>
      </c>
      <c r="C16" s="29">
        <f>Datos!Q88</f>
        <v>11189288</v>
      </c>
      <c r="D16" s="12">
        <f>Datos!T88</f>
        <v>9310961</v>
      </c>
      <c r="E16" s="31">
        <f t="shared" si="0"/>
        <v>0.8321316780835385</v>
      </c>
      <c r="F16" s="13">
        <v>27273</v>
      </c>
      <c r="G16" s="13">
        <f t="shared" si="1"/>
        <v>22694.727256372345</v>
      </c>
      <c r="H16" s="21">
        <f t="shared" si="2"/>
        <v>1.7054535066454224</v>
      </c>
      <c r="I16">
        <f t="shared" si="3"/>
        <v>0.58635430171706704</v>
      </c>
      <c r="J16" s="35"/>
      <c r="K16" s="35"/>
    </row>
    <row r="17" spans="2:11" x14ac:dyDescent="0.25">
      <c r="B17" s="10" t="s">
        <v>14</v>
      </c>
      <c r="C17" s="29">
        <f>Datos!Q89</f>
        <v>2644098</v>
      </c>
      <c r="D17" s="12">
        <f>Datos!T89</f>
        <v>3182383</v>
      </c>
      <c r="E17" s="31">
        <f t="shared" si="0"/>
        <v>1.2035798219279317</v>
      </c>
      <c r="F17" s="13">
        <v>17698</v>
      </c>
      <c r="G17" s="13">
        <f t="shared" si="1"/>
        <v>21300.955688480535</v>
      </c>
      <c r="H17" s="21">
        <f t="shared" si="2"/>
        <v>1.6007149662315319</v>
      </c>
      <c r="I17">
        <f t="shared" si="3"/>
        <v>0.62472084105906789</v>
      </c>
      <c r="J17" s="35"/>
      <c r="K17" s="35"/>
    </row>
    <row r="18" spans="2:11" x14ac:dyDescent="0.25">
      <c r="B18" s="10" t="s">
        <v>15</v>
      </c>
      <c r="C18" s="29">
        <f>Datos!Q90</f>
        <v>536720</v>
      </c>
      <c r="D18" s="12">
        <f>Datos!T90</f>
        <v>581941</v>
      </c>
      <c r="E18" s="31">
        <f t="shared" si="0"/>
        <v>1.0842543598151737</v>
      </c>
      <c r="F18" s="13">
        <v>13600</v>
      </c>
      <c r="G18" s="13">
        <f t="shared" si="1"/>
        <v>14745.859293486363</v>
      </c>
      <c r="H18" s="21">
        <f t="shared" si="2"/>
        <v>1.108115429477788</v>
      </c>
      <c r="I18">
        <f t="shared" si="3"/>
        <v>0.90243306193404538</v>
      </c>
      <c r="J18" s="35"/>
      <c r="K18" s="35"/>
    </row>
    <row r="19" spans="2:11" x14ac:dyDescent="0.25">
      <c r="B19" s="10" t="s">
        <v>16</v>
      </c>
      <c r="C19" s="29">
        <f>Datos!Q91</f>
        <v>1677324</v>
      </c>
      <c r="D19" s="12">
        <f>Datos!T91</f>
        <v>2120104</v>
      </c>
      <c r="E19" s="31">
        <f t="shared" si="0"/>
        <v>1.2639800062480475</v>
      </c>
      <c r="F19" s="13">
        <v>34393</v>
      </c>
      <c r="G19" s="13">
        <f t="shared" si="1"/>
        <v>43472.064354889095</v>
      </c>
      <c r="H19" s="21">
        <f t="shared" si="2"/>
        <v>3.2668198105065911</v>
      </c>
      <c r="I19">
        <f t="shared" si="3"/>
        <v>0.30610809839705494</v>
      </c>
      <c r="J19" s="35"/>
      <c r="K19" s="35"/>
    </row>
    <row r="20" spans="2:11" x14ac:dyDescent="0.25">
      <c r="B20" s="10" t="s">
        <v>17</v>
      </c>
      <c r="C20" s="29">
        <f>Datos!Q92</f>
        <v>1510227</v>
      </c>
      <c r="D20" s="12">
        <f>Datos!T92</f>
        <v>6139057</v>
      </c>
      <c r="E20" s="31">
        <f t="shared" si="0"/>
        <v>4.0649895677934511</v>
      </c>
      <c r="F20" s="13">
        <v>23469</v>
      </c>
      <c r="G20" s="13">
        <f t="shared" si="1"/>
        <v>95401.240166544507</v>
      </c>
      <c r="H20" s="21">
        <f t="shared" si="2"/>
        <v>7.169170959508711</v>
      </c>
      <c r="I20">
        <f t="shared" si="3"/>
        <v>0.13948614221197592</v>
      </c>
      <c r="J20" s="35"/>
      <c r="K20" s="35"/>
    </row>
    <row r="21" spans="2:11" x14ac:dyDescent="0.25">
      <c r="B21" s="10" t="s">
        <v>18</v>
      </c>
      <c r="C21" s="29">
        <f>Datos!Q93</f>
        <v>3494573</v>
      </c>
      <c r="D21" s="12">
        <f>Datos!T93</f>
        <v>4353377</v>
      </c>
      <c r="E21" s="31">
        <f t="shared" si="0"/>
        <v>1.2457536299856951</v>
      </c>
      <c r="F21" s="13">
        <v>43120</v>
      </c>
      <c r="G21" s="13">
        <f t="shared" si="1"/>
        <v>53716.896524983167</v>
      </c>
      <c r="H21" s="21">
        <f t="shared" si="2"/>
        <v>4.0366940086895573</v>
      </c>
      <c r="I21">
        <f t="shared" si="3"/>
        <v>0.24772747150201574</v>
      </c>
      <c r="J21" s="35"/>
      <c r="K21" s="35"/>
    </row>
    <row r="22" spans="2:11" x14ac:dyDescent="0.25">
      <c r="B22" s="10" t="s">
        <v>19</v>
      </c>
      <c r="C22" s="29">
        <f>Datos!Q94</f>
        <v>1113213</v>
      </c>
      <c r="D22" s="12">
        <f>Datos!T94</f>
        <v>1276066</v>
      </c>
      <c r="E22" s="31">
        <f t="shared" si="0"/>
        <v>1.1462909613883416</v>
      </c>
      <c r="F22" s="13">
        <v>7510</v>
      </c>
      <c r="G22" s="13">
        <f t="shared" si="1"/>
        <v>8608.6451200264455</v>
      </c>
      <c r="H22" s="21">
        <f t="shared" si="2"/>
        <v>0.64691872440514631</v>
      </c>
      <c r="I22">
        <f t="shared" si="3"/>
        <v>1.5457892348370632</v>
      </c>
      <c r="J22" s="35"/>
      <c r="K22" s="35"/>
    </row>
    <row r="23" spans="2:11" x14ac:dyDescent="0.25">
      <c r="B23" s="10" t="s">
        <v>20</v>
      </c>
      <c r="C23" s="29">
        <f>Datos!Q95</f>
        <v>2194344</v>
      </c>
      <c r="D23" s="12">
        <f>Datos!T95</f>
        <v>2538386</v>
      </c>
      <c r="E23" s="31">
        <f t="shared" si="0"/>
        <v>1.156785809335273</v>
      </c>
      <c r="F23" s="13">
        <v>22412</v>
      </c>
      <c r="G23" s="13">
        <f t="shared" si="1"/>
        <v>25925.883558822137</v>
      </c>
      <c r="H23" s="21">
        <f t="shared" si="2"/>
        <v>1.9482670370431123</v>
      </c>
      <c r="I23">
        <f t="shared" si="3"/>
        <v>0.51327666125158156</v>
      </c>
      <c r="J23" s="35"/>
      <c r="K23" s="35"/>
    </row>
    <row r="24" spans="2:11" x14ac:dyDescent="0.25">
      <c r="B24" s="10" t="s">
        <v>27</v>
      </c>
      <c r="C24" s="29">
        <f>Datos!Q96</f>
        <v>14203629</v>
      </c>
      <c r="D24" s="12">
        <f>Datos!T96</f>
        <v>12549885</v>
      </c>
      <c r="E24" s="31">
        <f t="shared" si="0"/>
        <v>0.88356891045239216</v>
      </c>
      <c r="F24" s="13">
        <v>93074</v>
      </c>
      <c r="G24" s="13">
        <f t="shared" si="1"/>
        <v>82237.292771445951</v>
      </c>
      <c r="H24" s="21">
        <f t="shared" si="2"/>
        <v>6.1799323582841499</v>
      </c>
      <c r="I24">
        <f t="shared" si="3"/>
        <v>0.16181406883191982</v>
      </c>
      <c r="J24" s="35"/>
      <c r="K24" s="35"/>
    </row>
    <row r="25" spans="2:11" x14ac:dyDescent="0.25">
      <c r="B25" s="10" t="s">
        <v>21</v>
      </c>
      <c r="C25" s="29">
        <f>Datos!Q97</f>
        <v>9399739</v>
      </c>
      <c r="D25" s="12">
        <f>Datos!T97</f>
        <v>12319331</v>
      </c>
      <c r="E25" s="31">
        <f t="shared" si="0"/>
        <v>1.31060351782108</v>
      </c>
      <c r="F25" s="13">
        <v>39756</v>
      </c>
      <c r="G25" s="13">
        <f t="shared" si="1"/>
        <v>52104.353454494856</v>
      </c>
      <c r="H25" s="21">
        <f t="shared" si="2"/>
        <v>3.9155153224196493</v>
      </c>
      <c r="I25">
        <f t="shared" si="3"/>
        <v>0.25539422468203637</v>
      </c>
      <c r="J25" s="35"/>
      <c r="K25" s="35"/>
    </row>
    <row r="26" spans="2:11" x14ac:dyDescent="0.25">
      <c r="B26" s="10" t="s">
        <v>22</v>
      </c>
      <c r="C26" s="29">
        <f>Datos!Q98</f>
        <v>175762046</v>
      </c>
      <c r="D26" s="12">
        <f>Datos!T98</f>
        <v>236317850</v>
      </c>
      <c r="E26" s="31">
        <f t="shared" si="0"/>
        <v>1.3445328805514702</v>
      </c>
      <c r="F26" s="13">
        <v>380249</v>
      </c>
      <c r="G26" s="13">
        <f t="shared" si="1"/>
        <v>511257.28329681599</v>
      </c>
      <c r="H26" s="21">
        <f t="shared" si="2"/>
        <v>38.419740265957287</v>
      </c>
      <c r="I26">
        <f t="shared" si="3"/>
        <v>2.60282863204589E-2</v>
      </c>
      <c r="J26" s="35"/>
      <c r="K26" s="35"/>
    </row>
    <row r="27" spans="2:11" x14ac:dyDescent="0.25">
      <c r="B27" s="10" t="s">
        <v>23</v>
      </c>
      <c r="C27" s="29">
        <f>Datos!Q99</f>
        <v>3206891</v>
      </c>
      <c r="D27" s="12">
        <f>Datos!T99</f>
        <v>1516592</v>
      </c>
      <c r="E27" s="31">
        <f t="shared" si="0"/>
        <v>0.4729166036513246</v>
      </c>
      <c r="F27" s="13">
        <v>30030</v>
      </c>
      <c r="G27" s="13">
        <f t="shared" si="1"/>
        <v>14201.685607649277</v>
      </c>
      <c r="H27" s="21">
        <f t="shared" si="2"/>
        <v>1.0672221016906285</v>
      </c>
      <c r="I27">
        <f t="shared" si="3"/>
        <v>0.93701207875648451</v>
      </c>
      <c r="J27" s="35"/>
      <c r="K27" s="35"/>
    </row>
    <row r="28" spans="2:11" ht="15.75" thickBot="1" x14ac:dyDescent="0.3">
      <c r="B28" s="10" t="s">
        <v>24</v>
      </c>
      <c r="C28" s="29">
        <f>Datos!Q100</f>
        <v>24570163</v>
      </c>
      <c r="D28" s="12">
        <f>Datos!T100</f>
        <v>27689428</v>
      </c>
      <c r="E28" s="31">
        <f t="shared" si="0"/>
        <v>1.1269533702320167</v>
      </c>
      <c r="F28" s="13">
        <v>49102</v>
      </c>
      <c r="G28" s="13">
        <f t="shared" si="1"/>
        <v>55335.664385132484</v>
      </c>
      <c r="H28" s="21">
        <f t="shared" si="2"/>
        <v>4.1583404727492379</v>
      </c>
      <c r="I28">
        <f t="shared" si="3"/>
        <v>0.24048054904433108</v>
      </c>
      <c r="J28" s="35"/>
      <c r="K28" s="35"/>
    </row>
    <row r="29" spans="2:11" ht="15.75" thickBot="1" x14ac:dyDescent="0.3">
      <c r="B29" s="312" t="s">
        <v>25</v>
      </c>
      <c r="C29" s="314">
        <f t="shared" ref="C29:H29" si="4">SUM(C9:C28)</f>
        <v>464363756</v>
      </c>
      <c r="D29" s="315">
        <f t="shared" si="4"/>
        <v>576063214</v>
      </c>
      <c r="E29" s="313">
        <f t="shared" si="4"/>
        <v>23.906852106136455</v>
      </c>
      <c r="F29" s="18">
        <f t="shared" si="4"/>
        <v>1084979</v>
      </c>
      <c r="G29" s="18">
        <f t="shared" si="4"/>
        <v>1330715.0953069497</v>
      </c>
      <c r="H29" s="22">
        <f t="shared" si="4"/>
        <v>100</v>
      </c>
      <c r="I29">
        <f>SUM(I9:I28)</f>
        <v>12.289760533224655</v>
      </c>
      <c r="J29" s="35"/>
      <c r="K29" s="35"/>
    </row>
    <row r="30" spans="2:11" x14ac:dyDescent="0.25">
      <c r="B30" s="2"/>
      <c r="C30" s="2"/>
      <c r="D30" s="2"/>
      <c r="E30" s="41"/>
      <c r="F30" s="3"/>
      <c r="G30" s="3"/>
    </row>
    <row r="31" spans="2:11" x14ac:dyDescent="0.25">
      <c r="B31" s="2" t="s">
        <v>26</v>
      </c>
      <c r="C31" s="2"/>
      <c r="D31" s="2"/>
      <c r="E31" s="2"/>
      <c r="F31" s="3"/>
      <c r="G31" s="3"/>
    </row>
    <row r="34" spans="2:8" ht="15.75" thickBot="1" x14ac:dyDescent="0.3">
      <c r="B34" s="714" t="s">
        <v>239</v>
      </c>
      <c r="C34" s="714"/>
      <c r="D34" s="714"/>
      <c r="E34" s="714"/>
      <c r="F34" s="714"/>
      <c r="G34" s="714"/>
      <c r="H34" s="714"/>
    </row>
    <row r="35" spans="2:8" x14ac:dyDescent="0.25">
      <c r="B35" s="775" t="s">
        <v>0</v>
      </c>
      <c r="C35" s="815" t="s">
        <v>91</v>
      </c>
      <c r="D35" s="689"/>
      <c r="E35" s="135" t="s">
        <v>79</v>
      </c>
      <c r="F35" s="135" t="s">
        <v>1</v>
      </c>
      <c r="G35" s="116" t="s">
        <v>2</v>
      </c>
      <c r="H35" s="309" t="s">
        <v>3</v>
      </c>
    </row>
    <row r="36" spans="2:8" x14ac:dyDescent="0.25">
      <c r="B36" s="658"/>
      <c r="C36" s="816"/>
      <c r="D36" s="817"/>
      <c r="E36" s="5" t="s">
        <v>238</v>
      </c>
      <c r="F36" s="5">
        <v>2010</v>
      </c>
      <c r="G36" s="308" t="s">
        <v>83</v>
      </c>
      <c r="H36" s="310" t="s">
        <v>31</v>
      </c>
    </row>
    <row r="37" spans="2:8" x14ac:dyDescent="0.25">
      <c r="B37" s="658"/>
      <c r="C37" s="5">
        <v>2014</v>
      </c>
      <c r="D37" s="5">
        <v>2015</v>
      </c>
      <c r="E37" s="5"/>
      <c r="F37" s="5"/>
      <c r="G37" s="308" t="s">
        <v>82</v>
      </c>
      <c r="H37" s="310"/>
    </row>
    <row r="38" spans="2:8" ht="15.75" thickBot="1" x14ac:dyDescent="0.3">
      <c r="B38" s="659"/>
      <c r="C38" s="136" t="s">
        <v>4</v>
      </c>
      <c r="D38" s="136" t="s">
        <v>5</v>
      </c>
      <c r="E38" s="136" t="s">
        <v>78</v>
      </c>
      <c r="F38" s="136" t="s">
        <v>28</v>
      </c>
      <c r="G38" s="316" t="s">
        <v>80</v>
      </c>
      <c r="H38" s="317" t="s">
        <v>81</v>
      </c>
    </row>
    <row r="39" spans="2:8" x14ac:dyDescent="0.25">
      <c r="B39" s="10" t="s">
        <v>6</v>
      </c>
      <c r="C39" s="29">
        <f>Datos!Q81</f>
        <v>10595876</v>
      </c>
      <c r="D39" s="12">
        <f>Datos!T81</f>
        <v>9840850</v>
      </c>
      <c r="E39" s="31">
        <f>D39/C39</f>
        <v>0.92874340922826959</v>
      </c>
      <c r="F39" s="13">
        <v>36572</v>
      </c>
      <c r="G39" s="13">
        <f>E39*F39</f>
        <v>33966.003962296272</v>
      </c>
      <c r="H39" s="21">
        <f>G39/G$29*100</f>
        <v>2.5524625129815259</v>
      </c>
    </row>
    <row r="40" spans="2:8" x14ac:dyDescent="0.25">
      <c r="B40" s="10" t="s">
        <v>7</v>
      </c>
      <c r="C40" s="29">
        <f>Datos!Q82</f>
        <v>3514317</v>
      </c>
      <c r="D40" s="12">
        <f>Datos!T82</f>
        <v>3790321</v>
      </c>
      <c r="E40" s="31">
        <f t="shared" ref="E40:E58" si="5">D40/C40</f>
        <v>1.0785370244061649</v>
      </c>
      <c r="F40" s="45">
        <v>15229</v>
      </c>
      <c r="G40" s="13">
        <f t="shared" ref="G40:G58" si="6">E40*F40</f>
        <v>16425.040344681485</v>
      </c>
      <c r="H40" s="21">
        <f t="shared" ref="H40:H58" si="7">G40/G$29*100</f>
        <v>1.2343017977783441</v>
      </c>
    </row>
    <row r="41" spans="2:8" x14ac:dyDescent="0.25">
      <c r="B41" s="10" t="s">
        <v>8</v>
      </c>
      <c r="C41" s="29">
        <f>Datos!Q83</f>
        <v>3191771</v>
      </c>
      <c r="D41" s="12">
        <f>Datos!T83</f>
        <v>3689187</v>
      </c>
      <c r="E41" s="31">
        <f t="shared" si="5"/>
        <v>1.1558432606850555</v>
      </c>
      <c r="F41" s="13">
        <v>11188</v>
      </c>
      <c r="G41" s="13">
        <f t="shared" si="6"/>
        <v>12931.574400544401</v>
      </c>
      <c r="H41" s="21">
        <f t="shared" si="7"/>
        <v>0.97177633635857541</v>
      </c>
    </row>
    <row r="42" spans="2:8" x14ac:dyDescent="0.25">
      <c r="B42" s="10" t="s">
        <v>9</v>
      </c>
      <c r="C42" s="29">
        <f>Datos!Q84</f>
        <v>160191302</v>
      </c>
      <c r="D42" s="12">
        <f>Datos!T84</f>
        <v>200100586</v>
      </c>
      <c r="E42" s="31">
        <f t="shared" si="5"/>
        <v>1.2491351496724834</v>
      </c>
      <c r="F42" s="13">
        <v>124205</v>
      </c>
      <c r="G42" s="13">
        <f t="shared" si="6"/>
        <v>155148.8312650708</v>
      </c>
      <c r="H42" s="21">
        <f t="shared" si="7"/>
        <v>11.659056984642033</v>
      </c>
    </row>
    <row r="43" spans="2:8" x14ac:dyDescent="0.25">
      <c r="B43" s="10" t="s">
        <v>10</v>
      </c>
      <c r="C43" s="29">
        <f>Datos!Q85</f>
        <v>35101187</v>
      </c>
      <c r="D43" s="12">
        <f>Datos!T85</f>
        <v>38608461</v>
      </c>
      <c r="E43" s="31">
        <f t="shared" si="5"/>
        <v>1.0999189571566341</v>
      </c>
      <c r="F43" s="13">
        <v>70399</v>
      </c>
      <c r="G43" s="13">
        <f t="shared" si="6"/>
        <v>77433.194664869879</v>
      </c>
      <c r="H43" s="21">
        <f t="shared" si="7"/>
        <v>5.818916080380732</v>
      </c>
    </row>
    <row r="44" spans="2:8" x14ac:dyDescent="0.25">
      <c r="B44" s="10" t="s">
        <v>11</v>
      </c>
      <c r="C44" s="29">
        <f>Datos!Q86</f>
        <v>66546</v>
      </c>
      <c r="D44" s="12">
        <f>Datos!T86</f>
        <v>56558</v>
      </c>
      <c r="E44" s="31">
        <f t="shared" si="5"/>
        <v>0.84990833408469324</v>
      </c>
      <c r="F44" s="13">
        <v>34300</v>
      </c>
      <c r="G44" s="13">
        <f t="shared" si="6"/>
        <v>29151.855859104977</v>
      </c>
      <c r="H44" s="21">
        <f t="shared" si="7"/>
        <v>2.1906910022975774</v>
      </c>
    </row>
    <row r="45" spans="2:8" x14ac:dyDescent="0.25">
      <c r="B45" s="10" t="s">
        <v>12</v>
      </c>
      <c r="C45" s="29">
        <f>Datos!Q87</f>
        <v>200502</v>
      </c>
      <c r="D45" s="12">
        <f>Datos!T87</f>
        <v>81890</v>
      </c>
      <c r="E45" s="31">
        <f t="shared" si="5"/>
        <v>0.40842485361742026</v>
      </c>
      <c r="F45" s="13">
        <v>11400</v>
      </c>
      <c r="G45" s="13">
        <f t="shared" si="6"/>
        <v>4656.0433312385912</v>
      </c>
      <c r="H45" s="21">
        <f t="shared" si="7"/>
        <v>0.34989032195239389</v>
      </c>
    </row>
    <row r="46" spans="2:8" x14ac:dyDescent="0.25">
      <c r="B46" s="10" t="s">
        <v>13</v>
      </c>
      <c r="C46" s="29">
        <f>Datos!Q88</f>
        <v>11189288</v>
      </c>
      <c r="D46" s="12">
        <f>Datos!T88</f>
        <v>9310961</v>
      </c>
      <c r="E46" s="31">
        <f t="shared" si="5"/>
        <v>0.8321316780835385</v>
      </c>
      <c r="F46" s="13">
        <v>27273</v>
      </c>
      <c r="G46" s="13">
        <f t="shared" si="6"/>
        <v>22694.727256372345</v>
      </c>
      <c r="H46" s="21">
        <f t="shared" si="7"/>
        <v>1.7054535066454224</v>
      </c>
    </row>
    <row r="47" spans="2:8" x14ac:dyDescent="0.25">
      <c r="B47" s="10" t="s">
        <v>14</v>
      </c>
      <c r="C47" s="29">
        <f>Datos!Q89</f>
        <v>2644098</v>
      </c>
      <c r="D47" s="12">
        <f>Datos!T89</f>
        <v>3182383</v>
      </c>
      <c r="E47" s="31">
        <f t="shared" si="5"/>
        <v>1.2035798219279317</v>
      </c>
      <c r="F47" s="13">
        <v>17698</v>
      </c>
      <c r="G47" s="13">
        <f t="shared" si="6"/>
        <v>21300.955688480535</v>
      </c>
      <c r="H47" s="21">
        <f t="shared" si="7"/>
        <v>1.6007149662315319</v>
      </c>
    </row>
    <row r="48" spans="2:8" x14ac:dyDescent="0.25">
      <c r="B48" s="10" t="s">
        <v>15</v>
      </c>
      <c r="C48" s="29">
        <f>Datos!Q90</f>
        <v>536720</v>
      </c>
      <c r="D48" s="12">
        <f>Datos!T90</f>
        <v>581941</v>
      </c>
      <c r="E48" s="31">
        <f t="shared" si="5"/>
        <v>1.0842543598151737</v>
      </c>
      <c r="F48" s="13">
        <v>13600</v>
      </c>
      <c r="G48" s="13">
        <f t="shared" si="6"/>
        <v>14745.859293486363</v>
      </c>
      <c r="H48" s="21">
        <f t="shared" si="7"/>
        <v>1.108115429477788</v>
      </c>
    </row>
    <row r="49" spans="2:8" x14ac:dyDescent="0.25">
      <c r="B49" s="10" t="s">
        <v>16</v>
      </c>
      <c r="C49" s="29">
        <f>Datos!Q91</f>
        <v>1677324</v>
      </c>
      <c r="D49" s="12">
        <f>Datos!T91</f>
        <v>2120104</v>
      </c>
      <c r="E49" s="31">
        <f t="shared" si="5"/>
        <v>1.2639800062480475</v>
      </c>
      <c r="F49" s="13">
        <v>34393</v>
      </c>
      <c r="G49" s="13">
        <f t="shared" si="6"/>
        <v>43472.064354889095</v>
      </c>
      <c r="H49" s="21">
        <f t="shared" si="7"/>
        <v>3.2668198105065911</v>
      </c>
    </row>
    <row r="50" spans="2:8" x14ac:dyDescent="0.25">
      <c r="B50" s="10" t="s">
        <v>17</v>
      </c>
      <c r="C50" s="29">
        <f>Datos!Q92</f>
        <v>1510227</v>
      </c>
      <c r="D50" s="12">
        <f>Datos!T92</f>
        <v>6139057</v>
      </c>
      <c r="E50" s="31">
        <f t="shared" si="5"/>
        <v>4.0649895677934511</v>
      </c>
      <c r="F50" s="13">
        <v>23469</v>
      </c>
      <c r="G50" s="13">
        <f t="shared" si="6"/>
        <v>95401.240166544507</v>
      </c>
      <c r="H50" s="21">
        <f t="shared" si="7"/>
        <v>7.169170959508711</v>
      </c>
    </row>
    <row r="51" spans="2:8" x14ac:dyDescent="0.25">
      <c r="B51" s="10" t="s">
        <v>18</v>
      </c>
      <c r="C51" s="29">
        <f>Datos!Q93</f>
        <v>3494573</v>
      </c>
      <c r="D51" s="12">
        <f>Datos!T93</f>
        <v>4353377</v>
      </c>
      <c r="E51" s="31">
        <f t="shared" si="5"/>
        <v>1.2457536299856951</v>
      </c>
      <c r="F51" s="13">
        <v>43120</v>
      </c>
      <c r="G51" s="13">
        <f t="shared" si="6"/>
        <v>53716.896524983167</v>
      </c>
      <c r="H51" s="21">
        <f t="shared" si="7"/>
        <v>4.0366940086895573</v>
      </c>
    </row>
    <row r="52" spans="2:8" x14ac:dyDescent="0.25">
      <c r="B52" s="10" t="s">
        <v>19</v>
      </c>
      <c r="C52" s="29">
        <f>Datos!Q94</f>
        <v>1113213</v>
      </c>
      <c r="D52" s="12">
        <f>Datos!T94</f>
        <v>1276066</v>
      </c>
      <c r="E52" s="31">
        <f t="shared" si="5"/>
        <v>1.1462909613883416</v>
      </c>
      <c r="F52" s="13">
        <v>7510</v>
      </c>
      <c r="G52" s="13">
        <f t="shared" si="6"/>
        <v>8608.6451200264455</v>
      </c>
      <c r="H52" s="21">
        <f t="shared" si="7"/>
        <v>0.64691872440514631</v>
      </c>
    </row>
    <row r="53" spans="2:8" x14ac:dyDescent="0.25">
      <c r="B53" s="10" t="s">
        <v>20</v>
      </c>
      <c r="C53" s="29">
        <f>Datos!Q95</f>
        <v>2194344</v>
      </c>
      <c r="D53" s="12">
        <f>Datos!T95</f>
        <v>2538386</v>
      </c>
      <c r="E53" s="31">
        <f t="shared" si="5"/>
        <v>1.156785809335273</v>
      </c>
      <c r="F53" s="13">
        <v>22412</v>
      </c>
      <c r="G53" s="13">
        <f t="shared" si="6"/>
        <v>25925.883558822137</v>
      </c>
      <c r="H53" s="21">
        <f t="shared" si="7"/>
        <v>1.9482670370431123</v>
      </c>
    </row>
    <row r="54" spans="2:8" x14ac:dyDescent="0.25">
      <c r="B54" s="10" t="s">
        <v>27</v>
      </c>
      <c r="C54" s="29">
        <f>Datos!Q96</f>
        <v>14203629</v>
      </c>
      <c r="D54" s="12">
        <f>Datos!T96</f>
        <v>12549885</v>
      </c>
      <c r="E54" s="31">
        <f t="shared" si="5"/>
        <v>0.88356891045239216</v>
      </c>
      <c r="F54" s="13">
        <v>93074</v>
      </c>
      <c r="G54" s="13">
        <f t="shared" si="6"/>
        <v>82237.292771445951</v>
      </c>
      <c r="H54" s="21">
        <f t="shared" si="7"/>
        <v>6.1799323582841499</v>
      </c>
    </row>
    <row r="55" spans="2:8" x14ac:dyDescent="0.25">
      <c r="B55" s="10" t="s">
        <v>21</v>
      </c>
      <c r="C55" s="29">
        <f>Datos!Q97</f>
        <v>9399739</v>
      </c>
      <c r="D55" s="12">
        <f>Datos!T97</f>
        <v>12319331</v>
      </c>
      <c r="E55" s="31">
        <f t="shared" si="5"/>
        <v>1.31060351782108</v>
      </c>
      <c r="F55" s="13">
        <v>39756</v>
      </c>
      <c r="G55" s="13">
        <f t="shared" si="6"/>
        <v>52104.353454494856</v>
      </c>
      <c r="H55" s="21">
        <f t="shared" si="7"/>
        <v>3.9155153224196493</v>
      </c>
    </row>
    <row r="56" spans="2:8" x14ac:dyDescent="0.25">
      <c r="B56" s="10" t="s">
        <v>22</v>
      </c>
      <c r="C56" s="29">
        <f>Datos!Q98</f>
        <v>175762046</v>
      </c>
      <c r="D56" s="12">
        <f>Datos!T98</f>
        <v>236317850</v>
      </c>
      <c r="E56" s="31">
        <f t="shared" si="5"/>
        <v>1.3445328805514702</v>
      </c>
      <c r="F56" s="13">
        <v>380249</v>
      </c>
      <c r="G56" s="13">
        <f t="shared" si="6"/>
        <v>511257.28329681599</v>
      </c>
      <c r="H56" s="21">
        <f t="shared" si="7"/>
        <v>38.419740265957287</v>
      </c>
    </row>
    <row r="57" spans="2:8" x14ac:dyDescent="0.25">
      <c r="B57" s="10" t="s">
        <v>23</v>
      </c>
      <c r="C57" s="29">
        <f>Datos!Q99</f>
        <v>3206891</v>
      </c>
      <c r="D57" s="12">
        <f>Datos!T99</f>
        <v>1516592</v>
      </c>
      <c r="E57" s="31">
        <f t="shared" si="5"/>
        <v>0.4729166036513246</v>
      </c>
      <c r="F57" s="13">
        <v>30030</v>
      </c>
      <c r="G57" s="13">
        <f t="shared" si="6"/>
        <v>14201.685607649277</v>
      </c>
      <c r="H57" s="21">
        <f t="shared" si="7"/>
        <v>1.0672221016906285</v>
      </c>
    </row>
    <row r="58" spans="2:8" ht="15.75" thickBot="1" x14ac:dyDescent="0.3">
      <c r="B58" s="10" t="s">
        <v>24</v>
      </c>
      <c r="C58" s="29">
        <f>Datos!Q100</f>
        <v>24570163</v>
      </c>
      <c r="D58" s="12">
        <f>Datos!T100</f>
        <v>27689428</v>
      </c>
      <c r="E58" s="31">
        <f t="shared" si="5"/>
        <v>1.1269533702320167</v>
      </c>
      <c r="F58" s="13">
        <v>49102</v>
      </c>
      <c r="G58" s="13">
        <f t="shared" si="6"/>
        <v>55335.664385132484</v>
      </c>
      <c r="H58" s="21">
        <f t="shared" si="7"/>
        <v>4.1583404727492379</v>
      </c>
    </row>
    <row r="59" spans="2:8" ht="15.75" thickBot="1" x14ac:dyDescent="0.3">
      <c r="B59" s="312" t="s">
        <v>25</v>
      </c>
      <c r="C59" s="314">
        <f t="shared" ref="C59" si="8">SUM(C39:C58)</f>
        <v>464363756</v>
      </c>
      <c r="D59" s="315">
        <f t="shared" ref="D59" si="9">SUM(D39:D58)</f>
        <v>576063214</v>
      </c>
      <c r="E59" s="313">
        <f t="shared" ref="E59" si="10">SUM(E39:E58)</f>
        <v>23.906852106136455</v>
      </c>
      <c r="F59" s="18">
        <f t="shared" ref="F59" si="11">SUM(F39:F58)</f>
        <v>1084979</v>
      </c>
      <c r="G59" s="18">
        <f t="shared" ref="G59" si="12">SUM(G39:G58)</f>
        <v>1330715.0953069497</v>
      </c>
      <c r="H59" s="22">
        <f t="shared" ref="H59" si="13">SUM(H39:H58)</f>
        <v>100</v>
      </c>
    </row>
  </sheetData>
  <mergeCells count="6">
    <mergeCell ref="B4:H4"/>
    <mergeCell ref="B5:B8"/>
    <mergeCell ref="C5:D6"/>
    <mergeCell ref="B34:H34"/>
    <mergeCell ref="B35:B38"/>
    <mergeCell ref="C35:D3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C15" sqref="C15:H15"/>
    </sheetView>
  </sheetViews>
  <sheetFormatPr baseColWidth="10" defaultRowHeight="15" x14ac:dyDescent="0.25"/>
  <cols>
    <col min="1" max="1" width="49.7109375" customWidth="1"/>
    <col min="2" max="2" width="12.7109375" style="389" bestFit="1" customWidth="1"/>
    <col min="3" max="3" width="15.28515625" style="82" bestFit="1" customWidth="1"/>
  </cols>
  <sheetData>
    <row r="3" spans="1:3" x14ac:dyDescent="0.25">
      <c r="A3" s="388" t="s">
        <v>268</v>
      </c>
      <c r="C3" s="39"/>
    </row>
    <row r="4" spans="1:3" ht="11.25" customHeight="1" thickBot="1" x14ac:dyDescent="0.3">
      <c r="A4" s="388"/>
      <c r="C4" s="39"/>
    </row>
    <row r="5" spans="1:3" ht="15.75" thickBot="1" x14ac:dyDescent="0.3">
      <c r="A5" s="652" t="s">
        <v>269</v>
      </c>
      <c r="B5" s="653"/>
      <c r="C5" s="390" t="s">
        <v>60</v>
      </c>
    </row>
    <row r="6" spans="1:3" ht="29.25" customHeight="1" thickBot="1" x14ac:dyDescent="0.3">
      <c r="A6" s="391" t="s">
        <v>93</v>
      </c>
      <c r="B6" s="392" t="s">
        <v>270</v>
      </c>
      <c r="C6" s="393">
        <v>5051000000</v>
      </c>
    </row>
    <row r="7" spans="1:3" ht="29.25" customHeight="1" thickBot="1" x14ac:dyDescent="0.3">
      <c r="A7" s="391" t="s">
        <v>106</v>
      </c>
      <c r="B7" s="392" t="s">
        <v>271</v>
      </c>
      <c r="C7" s="394">
        <v>466000000</v>
      </c>
    </row>
    <row r="8" spans="1:3" ht="29.25" customHeight="1" thickBot="1" x14ac:dyDescent="0.3">
      <c r="A8" s="391" t="s">
        <v>235</v>
      </c>
      <c r="B8" s="392" t="s">
        <v>272</v>
      </c>
      <c r="C8" s="393">
        <v>92000000</v>
      </c>
    </row>
    <row r="9" spans="1:3" ht="29.25" customHeight="1" thickBot="1" x14ac:dyDescent="0.3">
      <c r="A9" s="391" t="s">
        <v>273</v>
      </c>
      <c r="B9" s="392"/>
      <c r="C9" s="394">
        <v>214058740</v>
      </c>
    </row>
    <row r="10" spans="1:3" ht="29.25" customHeight="1" thickBot="1" x14ac:dyDescent="0.3">
      <c r="A10" s="391" t="s">
        <v>274</v>
      </c>
      <c r="B10" s="392" t="s">
        <v>275</v>
      </c>
      <c r="C10" s="393">
        <v>285000000</v>
      </c>
    </row>
    <row r="11" spans="1:3" ht="29.25" customHeight="1" thickBot="1" x14ac:dyDescent="0.3">
      <c r="A11" s="391" t="s">
        <v>234</v>
      </c>
      <c r="B11" s="392" t="s">
        <v>276</v>
      </c>
      <c r="C11" s="394">
        <v>411000000</v>
      </c>
    </row>
    <row r="12" spans="1:3" ht="29.25" customHeight="1" thickBot="1" x14ac:dyDescent="0.3">
      <c r="A12" s="395" t="s">
        <v>277</v>
      </c>
      <c r="B12" s="396"/>
      <c r="C12" s="393">
        <v>354000000</v>
      </c>
    </row>
    <row r="13" spans="1:3" ht="29.25" customHeight="1" thickBot="1" x14ac:dyDescent="0.3">
      <c r="A13" s="397" t="s">
        <v>278</v>
      </c>
      <c r="B13" s="398"/>
      <c r="C13" s="394">
        <v>26576505</v>
      </c>
    </row>
    <row r="14" spans="1:3" ht="29.25" customHeight="1" x14ac:dyDescent="0.25">
      <c r="A14" t="s">
        <v>279</v>
      </c>
      <c r="B14" s="399">
        <f>C13-B15</f>
        <v>17360457</v>
      </c>
      <c r="C14" s="393"/>
    </row>
    <row r="15" spans="1:3" ht="29.25" customHeight="1" thickBot="1" x14ac:dyDescent="0.3">
      <c r="A15" t="s">
        <v>280</v>
      </c>
      <c r="B15" s="399">
        <v>9216048</v>
      </c>
      <c r="C15" s="393"/>
    </row>
    <row r="16" spans="1:3" ht="29.25" customHeight="1" thickBot="1" x14ac:dyDescent="0.3">
      <c r="A16" s="391" t="s">
        <v>281</v>
      </c>
      <c r="B16" s="398"/>
      <c r="C16" s="394">
        <v>28325797</v>
      </c>
    </row>
    <row r="17" spans="1:3" ht="29.25" customHeight="1" thickBot="1" x14ac:dyDescent="0.3">
      <c r="A17" s="391" t="s">
        <v>282</v>
      </c>
      <c r="B17" s="398"/>
      <c r="C17" s="394">
        <v>193314999</v>
      </c>
    </row>
    <row r="18" spans="1:3" ht="29.25" customHeight="1" thickBot="1" x14ac:dyDescent="0.3">
      <c r="A18" s="400" t="s">
        <v>283</v>
      </c>
      <c r="B18" s="401"/>
      <c r="C18" s="402">
        <f>SUM(C6:C17)</f>
        <v>7121276041</v>
      </c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AK34"/>
  <sheetViews>
    <sheetView topLeftCell="B1" zoomScale="90" zoomScaleNormal="90" workbookViewId="0">
      <selection activeCell="U24" sqref="U24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9.7109375" hidden="1" customWidth="1"/>
    <col min="4" max="4" width="15.85546875" hidden="1" customWidth="1"/>
    <col min="5" max="5" width="12.7109375" hidden="1" customWidth="1"/>
    <col min="6" max="8" width="14.85546875" hidden="1" customWidth="1"/>
    <col min="9" max="9" width="18.85546875" style="1" hidden="1" customWidth="1"/>
    <col min="10" max="10" width="18.5703125" hidden="1" customWidth="1"/>
    <col min="11" max="12" width="19.42578125" hidden="1" customWidth="1"/>
    <col min="13" max="13" width="18.42578125" hidden="1" customWidth="1"/>
    <col min="14" max="14" width="15.42578125" hidden="1" customWidth="1"/>
    <col min="15" max="17" width="14.42578125" hidden="1" customWidth="1"/>
    <col min="18" max="18" width="18.85546875" hidden="1" customWidth="1"/>
    <col min="19" max="19" width="19" hidden="1" customWidth="1"/>
    <col min="20" max="20" width="15.5703125" bestFit="1" customWidth="1"/>
    <col min="21" max="21" width="17.7109375" customWidth="1"/>
    <col min="22" max="22" width="15.5703125" bestFit="1" customWidth="1"/>
    <col min="23" max="23" width="19.85546875" customWidth="1"/>
    <col min="24" max="24" width="13.7109375" customWidth="1"/>
    <col min="25" max="25" width="15.5703125" bestFit="1" customWidth="1"/>
    <col min="26" max="26" width="16.5703125" customWidth="1"/>
    <col min="27" max="27" width="15.5703125" bestFit="1" customWidth="1"/>
    <col min="28" max="28" width="13.28515625" customWidth="1"/>
    <col min="29" max="29" width="17" customWidth="1"/>
    <col min="30" max="30" width="16.28515625" customWidth="1"/>
    <col min="31" max="31" width="15.5703125" customWidth="1"/>
    <col min="32" max="32" width="17.5703125" customWidth="1"/>
    <col min="33" max="33" width="15.85546875" customWidth="1"/>
    <col min="34" max="34" width="16.5703125" style="458" customWidth="1"/>
    <col min="35" max="35" width="18.140625" style="458" customWidth="1"/>
    <col min="36" max="36" width="14.140625" customWidth="1"/>
    <col min="37" max="37" width="13.140625" customWidth="1"/>
  </cols>
  <sheetData>
    <row r="1" spans="2:37" ht="15.75" x14ac:dyDescent="0.25">
      <c r="B1" s="641" t="s">
        <v>324</v>
      </c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1"/>
      <c r="AE1" s="641"/>
      <c r="AF1" s="641"/>
      <c r="AG1" s="641"/>
      <c r="AH1" s="641"/>
      <c r="AI1" s="641"/>
      <c r="AJ1" s="641"/>
      <c r="AK1" s="641"/>
    </row>
    <row r="2" spans="2:37" ht="15.75" x14ac:dyDescent="0.25">
      <c r="B2" s="472"/>
      <c r="C2" s="472"/>
      <c r="D2" s="472"/>
      <c r="E2" s="472"/>
      <c r="F2" s="472"/>
      <c r="G2" s="472"/>
      <c r="H2" s="472"/>
      <c r="I2" s="461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61"/>
      <c r="V2" s="461"/>
      <c r="W2" s="461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</row>
    <row r="3" spans="2:37" ht="30.75" customHeight="1" x14ac:dyDescent="0.25">
      <c r="B3" s="654" t="s">
        <v>319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  <c r="U3" s="654"/>
      <c r="V3" s="654"/>
      <c r="W3" s="654"/>
      <c r="X3" s="654"/>
      <c r="Y3" s="654"/>
      <c r="Z3" s="654"/>
      <c r="AA3" s="654"/>
      <c r="AB3" s="654"/>
      <c r="AC3" s="654"/>
      <c r="AD3" s="654"/>
      <c r="AE3" s="654"/>
      <c r="AF3" s="654"/>
      <c r="AG3" s="654"/>
      <c r="AH3" s="654"/>
      <c r="AI3" s="654"/>
      <c r="AJ3" s="654"/>
      <c r="AK3" s="654"/>
    </row>
    <row r="4" spans="2:37" ht="15.75" thickBot="1" x14ac:dyDescent="0.3"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260"/>
      <c r="W4" s="260"/>
    </row>
    <row r="5" spans="2:37" ht="45" customHeight="1" x14ac:dyDescent="0.25">
      <c r="B5" s="673" t="s">
        <v>32</v>
      </c>
      <c r="C5" s="141"/>
      <c r="D5" s="141"/>
      <c r="E5" s="141"/>
      <c r="F5" s="141"/>
      <c r="G5" s="141"/>
      <c r="H5" s="141"/>
      <c r="I5" s="141"/>
      <c r="J5" s="425"/>
      <c r="K5" s="326"/>
      <c r="L5" s="326"/>
      <c r="M5" s="326"/>
      <c r="N5" s="326"/>
      <c r="O5" s="326"/>
      <c r="P5" s="326"/>
      <c r="Q5" s="326"/>
      <c r="R5" s="326"/>
      <c r="S5" s="326"/>
      <c r="T5" s="671" t="s">
        <v>93</v>
      </c>
      <c r="U5" s="672"/>
      <c r="V5" s="681" t="s">
        <v>106</v>
      </c>
      <c r="W5" s="682"/>
      <c r="X5" s="683"/>
      <c r="Y5" s="684" t="s">
        <v>233</v>
      </c>
      <c r="Z5" s="685"/>
      <c r="AA5" s="682" t="s">
        <v>234</v>
      </c>
      <c r="AB5" s="682"/>
      <c r="AC5" s="684" t="s">
        <v>235</v>
      </c>
      <c r="AD5" s="686"/>
      <c r="AE5" s="655" t="s">
        <v>236</v>
      </c>
      <c r="AF5" s="656"/>
      <c r="AG5" s="607" t="s">
        <v>368</v>
      </c>
      <c r="AH5" s="676" t="s">
        <v>285</v>
      </c>
      <c r="AI5" s="677"/>
      <c r="AJ5" s="655" t="s">
        <v>367</v>
      </c>
      <c r="AK5" s="656"/>
    </row>
    <row r="6" spans="2:37" ht="15.75" customHeight="1" x14ac:dyDescent="0.25">
      <c r="B6" s="674"/>
      <c r="C6" s="664" t="s">
        <v>225</v>
      </c>
      <c r="D6" s="83"/>
      <c r="E6" s="294"/>
      <c r="F6" s="666" t="s">
        <v>226</v>
      </c>
      <c r="G6" s="666"/>
      <c r="H6" s="666"/>
      <c r="I6" s="666"/>
      <c r="J6" s="664" t="s">
        <v>224</v>
      </c>
      <c r="K6" s="664"/>
      <c r="L6" s="664"/>
      <c r="M6" s="664"/>
      <c r="N6" s="664" t="s">
        <v>228</v>
      </c>
      <c r="O6" s="664" t="s">
        <v>231</v>
      </c>
      <c r="P6" s="664"/>
      <c r="Q6" s="664"/>
      <c r="R6" s="664"/>
      <c r="S6" s="668"/>
      <c r="T6" s="657" t="s">
        <v>286</v>
      </c>
      <c r="U6" s="660" t="s">
        <v>287</v>
      </c>
      <c r="V6" s="657" t="s">
        <v>286</v>
      </c>
      <c r="W6" s="678" t="s">
        <v>237</v>
      </c>
      <c r="X6" s="660" t="s">
        <v>287</v>
      </c>
      <c r="Y6" s="657" t="s">
        <v>286</v>
      </c>
      <c r="Z6" s="660" t="s">
        <v>287</v>
      </c>
      <c r="AA6" s="689" t="s">
        <v>286</v>
      </c>
      <c r="AB6" s="692" t="s">
        <v>287</v>
      </c>
      <c r="AC6" s="657" t="s">
        <v>286</v>
      </c>
      <c r="AD6" s="660" t="s">
        <v>287</v>
      </c>
      <c r="AE6" s="657" t="s">
        <v>286</v>
      </c>
      <c r="AF6" s="660" t="s">
        <v>287</v>
      </c>
      <c r="AG6" s="660" t="s">
        <v>287</v>
      </c>
      <c r="AH6" s="658" t="s">
        <v>286</v>
      </c>
      <c r="AI6" s="661" t="s">
        <v>287</v>
      </c>
      <c r="AJ6" s="657" t="s">
        <v>286</v>
      </c>
      <c r="AK6" s="660" t="s">
        <v>287</v>
      </c>
    </row>
    <row r="7" spans="2:37" ht="15.75" customHeight="1" x14ac:dyDescent="0.25">
      <c r="B7" s="674"/>
      <c r="C7" s="665"/>
      <c r="D7" s="385" t="s">
        <v>64</v>
      </c>
      <c r="E7" s="669" t="s">
        <v>1</v>
      </c>
      <c r="F7" s="669"/>
      <c r="G7" s="385" t="s">
        <v>88</v>
      </c>
      <c r="H7" s="385" t="s">
        <v>230</v>
      </c>
      <c r="I7" s="295" t="s">
        <v>86</v>
      </c>
      <c r="J7" s="670" t="s">
        <v>94</v>
      </c>
      <c r="K7" s="664" t="s">
        <v>95</v>
      </c>
      <c r="L7" s="385" t="s">
        <v>230</v>
      </c>
      <c r="M7" s="664" t="s">
        <v>99</v>
      </c>
      <c r="N7" s="665"/>
      <c r="O7" s="670" t="s">
        <v>227</v>
      </c>
      <c r="P7" s="387"/>
      <c r="Q7" s="387"/>
      <c r="R7" s="385" t="s">
        <v>88</v>
      </c>
      <c r="S7" s="384" t="s">
        <v>102</v>
      </c>
      <c r="T7" s="658"/>
      <c r="U7" s="661"/>
      <c r="V7" s="658"/>
      <c r="W7" s="679"/>
      <c r="X7" s="661"/>
      <c r="Y7" s="658"/>
      <c r="Z7" s="661"/>
      <c r="AA7" s="690"/>
      <c r="AB7" s="693"/>
      <c r="AC7" s="658"/>
      <c r="AD7" s="661"/>
      <c r="AE7" s="658"/>
      <c r="AF7" s="661"/>
      <c r="AG7" s="661"/>
      <c r="AH7" s="658"/>
      <c r="AI7" s="661"/>
      <c r="AJ7" s="658"/>
      <c r="AK7" s="661"/>
    </row>
    <row r="8" spans="2:37" ht="15.75" customHeight="1" x14ac:dyDescent="0.25">
      <c r="B8" s="674"/>
      <c r="C8" s="665"/>
      <c r="D8" s="385" t="s">
        <v>65</v>
      </c>
      <c r="E8" s="669">
        <v>2010</v>
      </c>
      <c r="F8" s="669"/>
      <c r="G8" s="385" t="s">
        <v>96</v>
      </c>
      <c r="H8" s="385" t="s">
        <v>175</v>
      </c>
      <c r="I8" s="295" t="s">
        <v>87</v>
      </c>
      <c r="J8" s="670"/>
      <c r="K8" s="664"/>
      <c r="L8" s="385" t="s">
        <v>175</v>
      </c>
      <c r="M8" s="664"/>
      <c r="N8" s="665"/>
      <c r="O8" s="687"/>
      <c r="P8" s="386"/>
      <c r="Q8" s="386"/>
      <c r="R8" s="385" t="s">
        <v>229</v>
      </c>
      <c r="S8" s="384" t="s">
        <v>103</v>
      </c>
      <c r="T8" s="658"/>
      <c r="U8" s="661" t="s">
        <v>288</v>
      </c>
      <c r="V8" s="658"/>
      <c r="W8" s="679"/>
      <c r="X8" s="661" t="s">
        <v>288</v>
      </c>
      <c r="Y8" s="658"/>
      <c r="Z8" s="661" t="s">
        <v>288</v>
      </c>
      <c r="AA8" s="690"/>
      <c r="AB8" s="693" t="s">
        <v>288</v>
      </c>
      <c r="AC8" s="658"/>
      <c r="AD8" s="661" t="s">
        <v>288</v>
      </c>
      <c r="AE8" s="658"/>
      <c r="AF8" s="661" t="s">
        <v>288</v>
      </c>
      <c r="AG8" s="661" t="s">
        <v>288</v>
      </c>
      <c r="AH8" s="658"/>
      <c r="AI8" s="661" t="s">
        <v>288</v>
      </c>
      <c r="AJ8" s="658"/>
      <c r="AK8" s="661" t="s">
        <v>288</v>
      </c>
    </row>
    <row r="9" spans="2:37" ht="15.75" customHeight="1" thickBot="1" x14ac:dyDescent="0.3">
      <c r="B9" s="675"/>
      <c r="C9" s="426">
        <v>2014</v>
      </c>
      <c r="D9" s="426" t="s">
        <v>61</v>
      </c>
      <c r="E9" s="427" t="s">
        <v>84</v>
      </c>
      <c r="F9" s="427" t="s">
        <v>85</v>
      </c>
      <c r="G9" s="427" t="s">
        <v>97</v>
      </c>
      <c r="H9" s="428">
        <v>0.6</v>
      </c>
      <c r="I9" s="429">
        <v>0.6</v>
      </c>
      <c r="J9" s="427" t="s">
        <v>232</v>
      </c>
      <c r="K9" s="427"/>
      <c r="L9" s="428">
        <v>0.3</v>
      </c>
      <c r="M9" s="427" t="s">
        <v>100</v>
      </c>
      <c r="N9" s="667"/>
      <c r="O9" s="688"/>
      <c r="P9" s="430"/>
      <c r="Q9" s="430"/>
      <c r="R9" s="427" t="s">
        <v>171</v>
      </c>
      <c r="S9" s="431" t="s">
        <v>170</v>
      </c>
      <c r="T9" s="659"/>
      <c r="U9" s="662"/>
      <c r="V9" s="659"/>
      <c r="W9" s="680"/>
      <c r="X9" s="662"/>
      <c r="Y9" s="659"/>
      <c r="Z9" s="662"/>
      <c r="AA9" s="691"/>
      <c r="AB9" s="694"/>
      <c r="AC9" s="659"/>
      <c r="AD9" s="662"/>
      <c r="AE9" s="659"/>
      <c r="AF9" s="662"/>
      <c r="AG9" s="662"/>
      <c r="AH9" s="659"/>
      <c r="AI9" s="662"/>
      <c r="AJ9" s="659"/>
      <c r="AK9" s="662"/>
    </row>
    <row r="10" spans="2:37" ht="27" customHeight="1" x14ac:dyDescent="0.25">
      <c r="B10" s="434" t="s">
        <v>6</v>
      </c>
      <c r="C10" s="432">
        <v>3.62</v>
      </c>
      <c r="D10" s="418">
        <f>Datos!I$13*C10%</f>
        <v>35350314.182820007</v>
      </c>
      <c r="E10" s="419">
        <f>F10/F$30*100</f>
        <v>3.3707564846877225</v>
      </c>
      <c r="F10" s="420">
        <v>36572</v>
      </c>
      <c r="G10" s="296">
        <f>E10</f>
        <v>3.3707564846877225</v>
      </c>
      <c r="H10" s="296">
        <f>G10*0.6</f>
        <v>2.0224538908126335</v>
      </c>
      <c r="I10" s="421">
        <f>Datos!$K$18*'PORCENTAJE Y MONTOS'!H10/100</f>
        <v>3234853.9991230057</v>
      </c>
      <c r="J10" s="419">
        <v>1.210777</v>
      </c>
      <c r="K10" s="419">
        <f>J10/$J$30*100</f>
        <v>5.6616379474610792</v>
      </c>
      <c r="L10" s="419">
        <f>K10*0.3</f>
        <v>1.6984913842383238</v>
      </c>
      <c r="M10" s="420">
        <f>Datos!$K$18*'PORCENTAJE Y MONTOS'!L10/100</f>
        <v>2716685.7408905583</v>
      </c>
      <c r="N10" s="319">
        <f>I10+M10</f>
        <v>5951539.740013564</v>
      </c>
      <c r="O10" s="419">
        <f>L10+H10</f>
        <v>3.7209452750509575</v>
      </c>
      <c r="P10" s="419">
        <f>1/O10</f>
        <v>0.26874891353684455</v>
      </c>
      <c r="Q10" s="419">
        <f>P10/$P$30*100</f>
        <v>4.2169783378374488</v>
      </c>
      <c r="R10" s="419">
        <f>Q10*0.1</f>
        <v>0.42169783378374492</v>
      </c>
      <c r="S10" s="422">
        <f>R10*Datos!$K$18/100</f>
        <v>674492.96630873519</v>
      </c>
      <c r="T10" s="423">
        <v>3.6494082808527777</v>
      </c>
      <c r="U10" s="424">
        <v>41187432.658240862</v>
      </c>
      <c r="V10" s="473">
        <v>2.5395249540969225</v>
      </c>
      <c r="W10" s="474">
        <v>0</v>
      </c>
      <c r="X10" s="587">
        <v>16251531.194241028</v>
      </c>
      <c r="Y10" s="588">
        <v>0.29561697185986546</v>
      </c>
      <c r="Z10" s="587">
        <v>1668160.4886899265</v>
      </c>
      <c r="AA10" s="588">
        <v>3.3211240000000002</v>
      </c>
      <c r="AB10" s="587">
        <v>3442241.6588665992</v>
      </c>
      <c r="AC10" s="588">
        <v>0.05</v>
      </c>
      <c r="AD10" s="587">
        <v>816534</v>
      </c>
      <c r="AE10" s="588">
        <v>3.3707564846877225</v>
      </c>
      <c r="AF10" s="587">
        <v>1732015.7732240669</v>
      </c>
      <c r="AG10" s="604">
        <v>271.26</v>
      </c>
      <c r="AH10" s="589">
        <f>'I S A N'!K9</f>
        <v>3.6494082808527777</v>
      </c>
      <c r="AI10" s="590">
        <f>'I S A N'!L9</f>
        <v>218224.16420203182</v>
      </c>
      <c r="AJ10" s="600">
        <f>AK10/$AK$30*100</f>
        <v>3.5614064262071561</v>
      </c>
      <c r="AK10" s="494">
        <f>U10+X10+Z10+AB10+AD10+AF10+AG10+AI10</f>
        <v>65316411.197464518</v>
      </c>
    </row>
    <row r="11" spans="2:37" ht="27" customHeight="1" x14ac:dyDescent="0.25">
      <c r="B11" s="435" t="s">
        <v>7</v>
      </c>
      <c r="C11" s="433">
        <v>2.4700000000000002</v>
      </c>
      <c r="D11" s="279">
        <f>Datos!I$13*C11%</f>
        <v>24120241.997670002</v>
      </c>
      <c r="E11" s="262">
        <f t="shared" ref="E11:E29" si="0">F11/F$30*100</f>
        <v>1.4036216369164749</v>
      </c>
      <c r="F11" s="263">
        <v>15229</v>
      </c>
      <c r="G11" s="266">
        <f t="shared" ref="G11:G30" si="1">E11</f>
        <v>1.4036216369164749</v>
      </c>
      <c r="H11" s="266">
        <f t="shared" ref="H11:H29" si="2">G11*0.6</f>
        <v>0.8421729821498849</v>
      </c>
      <c r="I11" s="280">
        <f>Datos!$K$18*'PORCENTAJE Y MONTOS'!H11/100</f>
        <v>1347030.284169426</v>
      </c>
      <c r="J11" s="262">
        <v>1.1581699999999999</v>
      </c>
      <c r="K11" s="262">
        <f t="shared" ref="K11:K29" si="3">J11/$J$30*100</f>
        <v>5.4156456734898315</v>
      </c>
      <c r="L11" s="262">
        <f t="shared" ref="L11:L29" si="4">K11*0.3</f>
        <v>1.6246937020469494</v>
      </c>
      <c r="M11" s="15">
        <f>Datos!$K$18*'PORCENTAJE Y MONTOS'!L11/100</f>
        <v>2598648.5740373479</v>
      </c>
      <c r="N11" s="267">
        <f t="shared" ref="N11:N30" si="5">I11+M11</f>
        <v>3945678.8582067741</v>
      </c>
      <c r="O11" s="262">
        <f t="shared" ref="O11:O29" si="6">L11+H11</f>
        <v>2.4668666841968343</v>
      </c>
      <c r="P11" s="262">
        <f t="shared" ref="P11:P29" si="7">1/O11</f>
        <v>0.40537253448115756</v>
      </c>
      <c r="Q11" s="262">
        <f t="shared" ref="Q11:Q29" si="8">P11/$P$30*100</f>
        <v>6.3607594693659895</v>
      </c>
      <c r="R11" s="262">
        <f t="shared" ref="R11:R29" si="9">Q11*0.1</f>
        <v>0.63607594693659897</v>
      </c>
      <c r="S11" s="415">
        <f>R11*Datos!$K$18/100</f>
        <v>1017384.2924384543</v>
      </c>
      <c r="T11" s="416">
        <v>2.8656766244780649</v>
      </c>
      <c r="U11" s="417">
        <v>28703805.326849993</v>
      </c>
      <c r="V11" s="414">
        <v>1.0307956336559667</v>
      </c>
      <c r="W11" s="297">
        <v>0</v>
      </c>
      <c r="X11" s="591">
        <v>10924009.007997314</v>
      </c>
      <c r="Y11" s="592">
        <v>4.7412779855992321E-2</v>
      </c>
      <c r="Z11" s="591">
        <v>666289.03943283798</v>
      </c>
      <c r="AA11" s="592">
        <v>3.2917749999999999</v>
      </c>
      <c r="AB11" s="591">
        <v>1782865.4173218494</v>
      </c>
      <c r="AC11" s="592">
        <v>0.05</v>
      </c>
      <c r="AD11" s="591">
        <v>1195758</v>
      </c>
      <c r="AE11" s="592">
        <v>1.4036216369164749</v>
      </c>
      <c r="AF11" s="591">
        <v>709607.40485629218</v>
      </c>
      <c r="AG11" s="604">
        <v>0</v>
      </c>
      <c r="AH11" s="589">
        <f>'I S A N'!K10</f>
        <v>2.8656766244780649</v>
      </c>
      <c r="AI11" s="590">
        <f>'I S A N'!L10</f>
        <v>171359.25556235493</v>
      </c>
      <c r="AJ11" s="601">
        <f t="shared" ref="AJ11:AJ29" si="10">AK11/$AK$30*100</f>
        <v>2.4074998108118852</v>
      </c>
      <c r="AK11" s="417">
        <f t="shared" ref="AK11:AK29" si="11">U11+X11+Z11+AB11+AD11+AF11+AG11+AI11</f>
        <v>44153693.452020645</v>
      </c>
    </row>
    <row r="12" spans="2:37" ht="27" customHeight="1" x14ac:dyDescent="0.25">
      <c r="B12" s="435" t="s">
        <v>8</v>
      </c>
      <c r="C12" s="433">
        <v>2.33</v>
      </c>
      <c r="D12" s="279">
        <f>Datos!I$13*C12%</f>
        <v>22753102.77513</v>
      </c>
      <c r="E12" s="262">
        <f t="shared" si="0"/>
        <v>1.0311720319010782</v>
      </c>
      <c r="F12" s="15">
        <v>11188</v>
      </c>
      <c r="G12" s="266">
        <f t="shared" si="1"/>
        <v>1.0311720319010782</v>
      </c>
      <c r="H12" s="266">
        <f t="shared" si="2"/>
        <v>0.61870321914064685</v>
      </c>
      <c r="I12" s="280">
        <f>Datos!$K$18*'PORCENTAJE Y MONTOS'!H12/100</f>
        <v>989597.13830767199</v>
      </c>
      <c r="J12" s="262">
        <v>1.096811</v>
      </c>
      <c r="K12" s="262">
        <f t="shared" si="3"/>
        <v>5.1287287244411921</v>
      </c>
      <c r="L12" s="262">
        <f t="shared" si="4"/>
        <v>1.5386186173323575</v>
      </c>
      <c r="M12" s="15">
        <f>Datos!$K$18*'PORCENTAJE Y MONTOS'!L12/100</f>
        <v>2460974.072146988</v>
      </c>
      <c r="N12" s="267">
        <f t="shared" si="5"/>
        <v>3450571.21045466</v>
      </c>
      <c r="O12" s="262">
        <f t="shared" si="6"/>
        <v>2.1573218364730042</v>
      </c>
      <c r="P12" s="262">
        <f t="shared" si="7"/>
        <v>0.46353769896238362</v>
      </c>
      <c r="Q12" s="262">
        <f t="shared" si="8"/>
        <v>7.2734375353201246</v>
      </c>
      <c r="R12" s="262">
        <f t="shared" si="9"/>
        <v>0.72734375353201253</v>
      </c>
      <c r="S12" s="415">
        <f>R12*Datos!$K$18/100</f>
        <v>1163364.3963595035</v>
      </c>
      <c r="T12" s="416">
        <v>2.780169749324584</v>
      </c>
      <c r="U12" s="417">
        <v>27199900.436474863</v>
      </c>
      <c r="V12" s="414">
        <v>0.83579280145099288</v>
      </c>
      <c r="W12" s="297">
        <v>0</v>
      </c>
      <c r="X12" s="591">
        <v>10272781.769280745</v>
      </c>
      <c r="Y12" s="592">
        <v>3.3902456556088992E-2</v>
      </c>
      <c r="Z12" s="591">
        <v>487262.73095333669</v>
      </c>
      <c r="AA12" s="592">
        <v>3.8651369999999998</v>
      </c>
      <c r="AB12" s="591">
        <v>1642654.3168824483</v>
      </c>
      <c r="AC12" s="592">
        <v>0.05</v>
      </c>
      <c r="AD12" s="591">
        <v>1265832</v>
      </c>
      <c r="AE12" s="592">
        <v>1.0311720319010782</v>
      </c>
      <c r="AF12" s="591">
        <v>519513.96132097946</v>
      </c>
      <c r="AG12" s="604">
        <v>0</v>
      </c>
      <c r="AH12" s="589">
        <f>'I S A N'!K11</f>
        <v>2.780169749324584</v>
      </c>
      <c r="AI12" s="590">
        <f>'I S A N'!L11</f>
        <v>166246.1892984905</v>
      </c>
      <c r="AJ12" s="601">
        <f t="shared" si="10"/>
        <v>2.2657608032901768</v>
      </c>
      <c r="AK12" s="417">
        <f t="shared" si="11"/>
        <v>41554191.404210858</v>
      </c>
    </row>
    <row r="13" spans="2:37" ht="27" customHeight="1" x14ac:dyDescent="0.25">
      <c r="B13" s="435" t="s">
        <v>9</v>
      </c>
      <c r="C13" s="433">
        <v>2.81</v>
      </c>
      <c r="D13" s="279">
        <f>Datos!I$13*C13%</f>
        <v>27440437.252410002</v>
      </c>
      <c r="E13" s="262">
        <f t="shared" si="0"/>
        <v>11.447687005923617</v>
      </c>
      <c r="F13" s="15">
        <v>124205</v>
      </c>
      <c r="G13" s="266">
        <f t="shared" si="1"/>
        <v>11.447687005923617</v>
      </c>
      <c r="H13" s="266">
        <f t="shared" si="2"/>
        <v>6.8686122035541706</v>
      </c>
      <c r="I13" s="280">
        <f>Datos!$K$18*'PORCENTAJE Y MONTOS'!H13/100</f>
        <v>10986138.055372223</v>
      </c>
      <c r="J13" s="262">
        <v>0.95977000000000001</v>
      </c>
      <c r="K13" s="262">
        <f t="shared" si="3"/>
        <v>4.4879199496147679</v>
      </c>
      <c r="L13" s="262">
        <f t="shared" si="4"/>
        <v>1.3463759848844303</v>
      </c>
      <c r="M13" s="15">
        <f>Datos!$K$18*'PORCENTAJE Y MONTOS'!L13/100</f>
        <v>2153487.7797765662</v>
      </c>
      <c r="N13" s="267">
        <f t="shared" si="5"/>
        <v>13139625.835148789</v>
      </c>
      <c r="O13" s="262">
        <f t="shared" si="6"/>
        <v>8.2149881884386016</v>
      </c>
      <c r="P13" s="262">
        <f t="shared" si="7"/>
        <v>0.12172872036594699</v>
      </c>
      <c r="Q13" s="262">
        <f t="shared" si="8"/>
        <v>1.9100630775405734</v>
      </c>
      <c r="R13" s="262">
        <f t="shared" si="9"/>
        <v>0.19100630775405736</v>
      </c>
      <c r="S13" s="415">
        <f>R13*Datos!$K$18/100</f>
        <v>305508.82831136649</v>
      </c>
      <c r="T13" s="416">
        <v>8.6105108655701841</v>
      </c>
      <c r="U13" s="417">
        <v>41212689.68027129</v>
      </c>
      <c r="V13" s="414">
        <v>23.091779966962442</v>
      </c>
      <c r="W13" s="297">
        <v>0</v>
      </c>
      <c r="X13" s="591">
        <v>17571805.401568335</v>
      </c>
      <c r="Y13" s="592">
        <v>20.414346431057222</v>
      </c>
      <c r="Z13" s="591">
        <v>7979966.8152509686</v>
      </c>
      <c r="AA13" s="592">
        <v>8.2965210000000003</v>
      </c>
      <c r="AB13" s="591">
        <v>7173941.354788769</v>
      </c>
      <c r="AC13" s="592">
        <v>0.05</v>
      </c>
      <c r="AD13" s="591">
        <v>1051488</v>
      </c>
      <c r="AE13" s="592">
        <v>11.447687005923617</v>
      </c>
      <c r="AF13" s="591">
        <v>4492106.9378751572</v>
      </c>
      <c r="AG13" s="604">
        <v>15713.32</v>
      </c>
      <c r="AH13" s="589">
        <f>'I S A N'!K12</f>
        <v>8.6105108655701841</v>
      </c>
      <c r="AI13" s="590">
        <f>'I S A N'!L12</f>
        <v>514883.89141060581</v>
      </c>
      <c r="AJ13" s="601">
        <f t="shared" si="10"/>
        <v>4.3627224186849407</v>
      </c>
      <c r="AK13" s="417">
        <f t="shared" si="11"/>
        <v>80012595.401165113</v>
      </c>
    </row>
    <row r="14" spans="2:37" ht="27" customHeight="1" x14ac:dyDescent="0.25">
      <c r="B14" s="435" t="s">
        <v>10</v>
      </c>
      <c r="C14" s="433">
        <v>4.6399999999999997</v>
      </c>
      <c r="D14" s="279">
        <f>Datos!I$13*C14%</f>
        <v>45310899.947039999</v>
      </c>
      <c r="E14" s="262">
        <f t="shared" si="0"/>
        <v>6.4885126808905982</v>
      </c>
      <c r="F14" s="15">
        <v>70399</v>
      </c>
      <c r="G14" s="266">
        <f t="shared" si="1"/>
        <v>6.4885126808905982</v>
      </c>
      <c r="H14" s="266">
        <f t="shared" si="2"/>
        <v>3.8931076085343586</v>
      </c>
      <c r="I14" s="280">
        <f>Datos!$K$18*'PORCENTAJE Y MONTOS'!H14/100</f>
        <v>6226908.1998321246</v>
      </c>
      <c r="J14" s="262">
        <v>0.95178300000000005</v>
      </c>
      <c r="K14" s="262">
        <f t="shared" si="3"/>
        <v>4.4505724427771165</v>
      </c>
      <c r="L14" s="262">
        <f t="shared" si="4"/>
        <v>1.3351717328331349</v>
      </c>
      <c r="M14" s="15">
        <f>Datos!$K$18*'PORCENTAJE Y MONTOS'!L14/100</f>
        <v>2135566.9165519653</v>
      </c>
      <c r="N14" s="267">
        <f t="shared" si="5"/>
        <v>8362475.1163840899</v>
      </c>
      <c r="O14" s="262">
        <f t="shared" si="6"/>
        <v>5.2282793413674931</v>
      </c>
      <c r="P14" s="262">
        <f t="shared" si="7"/>
        <v>0.19126751550701249</v>
      </c>
      <c r="Q14" s="262">
        <f t="shared" si="8"/>
        <v>3.001206438419636</v>
      </c>
      <c r="R14" s="262">
        <f t="shared" si="9"/>
        <v>0.30012064384196363</v>
      </c>
      <c r="S14" s="415">
        <f>R14*Datos!$K$18/100</f>
        <v>480033.91788648179</v>
      </c>
      <c r="T14" s="416">
        <v>5.5523550080969493</v>
      </c>
      <c r="U14" s="417">
        <v>54191724.31791167</v>
      </c>
      <c r="V14" s="414">
        <v>6.5953174793709302</v>
      </c>
      <c r="W14" s="297">
        <v>0</v>
      </c>
      <c r="X14" s="591">
        <v>21614595.790547121</v>
      </c>
      <c r="Y14" s="592">
        <v>2.2325285488064215</v>
      </c>
      <c r="Z14" s="591">
        <v>3369993.4596188539</v>
      </c>
      <c r="AA14" s="592">
        <v>5.0415029999999996</v>
      </c>
      <c r="AB14" s="591">
        <v>5541370.9784132587</v>
      </c>
      <c r="AC14" s="592">
        <v>0.05</v>
      </c>
      <c r="AD14" s="591">
        <v>637227</v>
      </c>
      <c r="AE14" s="592">
        <v>6.4885126808905982</v>
      </c>
      <c r="AF14" s="591">
        <v>3180077.1294029886</v>
      </c>
      <c r="AG14" s="604">
        <v>2783.3100000000004</v>
      </c>
      <c r="AH14" s="589">
        <f>'I S A N'!K13</f>
        <v>5.5523550080969493</v>
      </c>
      <c r="AI14" s="590">
        <f>'I S A N'!L13</f>
        <v>332014.92892754311</v>
      </c>
      <c r="AJ14" s="601">
        <f t="shared" si="10"/>
        <v>4.8456647328227938</v>
      </c>
      <c r="AK14" s="417">
        <f t="shared" si="11"/>
        <v>88869786.914821431</v>
      </c>
    </row>
    <row r="15" spans="2:37" ht="27" customHeight="1" x14ac:dyDescent="0.25">
      <c r="B15" s="435" t="s">
        <v>11</v>
      </c>
      <c r="C15" s="433">
        <v>1.5</v>
      </c>
      <c r="D15" s="279">
        <f>Datos!I$13*C15%</f>
        <v>14647920.2415</v>
      </c>
      <c r="E15" s="262">
        <f t="shared" si="0"/>
        <v>3.1613515100292262</v>
      </c>
      <c r="F15" s="15">
        <v>34300</v>
      </c>
      <c r="G15" s="266">
        <f t="shared" si="1"/>
        <v>3.1613515100292262</v>
      </c>
      <c r="H15" s="266">
        <f t="shared" si="2"/>
        <v>1.8968109060175355</v>
      </c>
      <c r="I15" s="280">
        <f>Datos!$K$18*'PORCENTAJE Y MONTOS'!H15/100</f>
        <v>3033891.8344613109</v>
      </c>
      <c r="J15" s="262">
        <v>1.071404</v>
      </c>
      <c r="K15" s="262">
        <f t="shared" si="3"/>
        <v>5.0099246545495904</v>
      </c>
      <c r="L15" s="262">
        <f t="shared" si="4"/>
        <v>1.5029773963648771</v>
      </c>
      <c r="M15" s="15">
        <f>Datos!$K$18*'PORCENTAJE Y MONTOS'!L15/100</f>
        <v>2403967.0141843688</v>
      </c>
      <c r="N15" s="267">
        <f t="shared" si="5"/>
        <v>5437858.8486456797</v>
      </c>
      <c r="O15" s="262">
        <f t="shared" si="6"/>
        <v>3.3997883023824125</v>
      </c>
      <c r="P15" s="262">
        <f t="shared" si="7"/>
        <v>0.29413596114182955</v>
      </c>
      <c r="Q15" s="262">
        <f t="shared" si="8"/>
        <v>4.6153301986988051</v>
      </c>
      <c r="R15" s="262">
        <f t="shared" si="9"/>
        <v>0.46153301986988055</v>
      </c>
      <c r="S15" s="415">
        <f>R15*Datos!$K$18/100</f>
        <v>738208.14498446148</v>
      </c>
      <c r="T15" s="416">
        <v>3.45981153874133</v>
      </c>
      <c r="U15" s="417">
        <v>20181784.446340933</v>
      </c>
      <c r="V15" s="414">
        <v>1.5855847648789367</v>
      </c>
      <c r="W15" s="297">
        <v>0.19763703259443005</v>
      </c>
      <c r="X15" s="591">
        <v>6879094.6328096315</v>
      </c>
      <c r="Y15" s="592">
        <v>1.593441795650723E-3</v>
      </c>
      <c r="Z15" s="591">
        <v>1419680.1179767868</v>
      </c>
      <c r="AA15" s="592">
        <v>3.2382360000000001</v>
      </c>
      <c r="AB15" s="591">
        <v>6024106.9369760146</v>
      </c>
      <c r="AC15" s="592">
        <v>0.05</v>
      </c>
      <c r="AD15" s="591">
        <v>1964511</v>
      </c>
      <c r="AE15" s="592">
        <v>3.1613515100292262</v>
      </c>
      <c r="AF15" s="591">
        <v>1545407.1462289593</v>
      </c>
      <c r="AG15" s="604">
        <v>0</v>
      </c>
      <c r="AH15" s="589">
        <f>'I S A N'!K14</f>
        <v>3.45981153874133</v>
      </c>
      <c r="AI15" s="590">
        <f>'I S A N'!L14</f>
        <v>206886.82198143748</v>
      </c>
      <c r="AJ15" s="601">
        <f t="shared" si="10"/>
        <v>2.0840427437347535</v>
      </c>
      <c r="AK15" s="417">
        <f t="shared" si="11"/>
        <v>38221471.102313764</v>
      </c>
    </row>
    <row r="16" spans="2:37" ht="27" customHeight="1" x14ac:dyDescent="0.25">
      <c r="B16" s="435" t="s">
        <v>12</v>
      </c>
      <c r="C16" s="433">
        <v>1.53</v>
      </c>
      <c r="D16" s="279">
        <f>Datos!I$13*C16%</f>
        <v>14940878.646330001</v>
      </c>
      <c r="E16" s="262">
        <f t="shared" si="0"/>
        <v>1.050711580592804</v>
      </c>
      <c r="F16" s="15">
        <v>11400</v>
      </c>
      <c r="G16" s="266">
        <f t="shared" si="1"/>
        <v>1.050711580592804</v>
      </c>
      <c r="H16" s="266">
        <f t="shared" si="2"/>
        <v>0.63042694835568236</v>
      </c>
      <c r="I16" s="280">
        <f>Datos!$K$18*'PORCENTAJE Y MONTOS'!H16/100</f>
        <v>1008348.8895877243</v>
      </c>
      <c r="J16" s="262">
        <v>1.737498</v>
      </c>
      <c r="K16" s="262">
        <f t="shared" si="3"/>
        <v>8.1246047872050173</v>
      </c>
      <c r="L16" s="262">
        <f t="shared" si="4"/>
        <v>2.4373814361615049</v>
      </c>
      <c r="M16" s="15">
        <f>Datos!$K$18*'PORCENTAJE Y MONTOS'!L16/100</f>
        <v>3898518.0932788309</v>
      </c>
      <c r="N16" s="267">
        <f t="shared" si="5"/>
        <v>4906866.9828665555</v>
      </c>
      <c r="O16" s="262">
        <f t="shared" si="6"/>
        <v>3.0678083845171873</v>
      </c>
      <c r="P16" s="262">
        <f t="shared" si="7"/>
        <v>0.32596559975742434</v>
      </c>
      <c r="Q16" s="262">
        <f t="shared" si="8"/>
        <v>5.1147736932852705</v>
      </c>
      <c r="R16" s="262">
        <f t="shared" si="9"/>
        <v>0.51147736932852705</v>
      </c>
      <c r="S16" s="415">
        <f>R16*Datos!$K$18/100</f>
        <v>818092.62557204266</v>
      </c>
      <c r="T16" s="416">
        <v>2.4301673180254229</v>
      </c>
      <c r="U16" s="417">
        <v>18827857.975235187</v>
      </c>
      <c r="V16" s="414">
        <v>0.53246351719249918</v>
      </c>
      <c r="W16" s="297">
        <v>0.22246556057307754</v>
      </c>
      <c r="X16" s="591">
        <v>6764181.9714495232</v>
      </c>
      <c r="Y16" s="592">
        <v>7.6680292928869311E-4</v>
      </c>
      <c r="Z16" s="591">
        <v>489436.43678948982</v>
      </c>
      <c r="AA16" s="592">
        <v>3.8203589999999998</v>
      </c>
      <c r="AB16" s="591">
        <v>2151316.1119783004</v>
      </c>
      <c r="AC16" s="592">
        <v>0.05</v>
      </c>
      <c r="AD16" s="591">
        <v>1927413</v>
      </c>
      <c r="AE16" s="592">
        <v>1.050711580592804</v>
      </c>
      <c r="AF16" s="591">
        <v>529103.82884869201</v>
      </c>
      <c r="AG16" s="604">
        <v>0</v>
      </c>
      <c r="AH16" s="589">
        <f>'I S A N'!K15</f>
        <v>2.4301673180254229</v>
      </c>
      <c r="AI16" s="590">
        <f>'I S A N'!L15</f>
        <v>145317.04622626331</v>
      </c>
      <c r="AJ16" s="601">
        <f t="shared" si="10"/>
        <v>1.6812717430800292</v>
      </c>
      <c r="AK16" s="417">
        <f t="shared" si="11"/>
        <v>30834626.370527457</v>
      </c>
    </row>
    <row r="17" spans="2:37" ht="27" customHeight="1" x14ac:dyDescent="0.25">
      <c r="B17" s="435" t="s">
        <v>13</v>
      </c>
      <c r="C17" s="433">
        <v>3.16</v>
      </c>
      <c r="D17" s="279">
        <f>Datos!I$13*C17%</f>
        <v>30858285.308760002</v>
      </c>
      <c r="E17" s="262">
        <f t="shared" si="0"/>
        <v>2.5136892050445216</v>
      </c>
      <c r="F17" s="15">
        <v>27273</v>
      </c>
      <c r="G17" s="266">
        <f t="shared" si="1"/>
        <v>2.5136892050445216</v>
      </c>
      <c r="H17" s="266">
        <f t="shared" si="2"/>
        <v>1.5082135230267129</v>
      </c>
      <c r="I17" s="280">
        <f>Datos!$K$18*'PORCENTAJE Y MONTOS'!H17/100</f>
        <v>2412342.040853159</v>
      </c>
      <c r="J17" s="262">
        <v>0.789829</v>
      </c>
      <c r="K17" s="262">
        <f t="shared" si="3"/>
        <v>3.6932695602949481</v>
      </c>
      <c r="L17" s="262">
        <f t="shared" si="4"/>
        <v>1.1079808680884844</v>
      </c>
      <c r="M17" s="15">
        <f>Datos!$K$18*'PORCENTAJE Y MONTOS'!L17/100</f>
        <v>1772181.9806965683</v>
      </c>
      <c r="N17" s="267">
        <f t="shared" si="5"/>
        <v>4184524.0215497273</v>
      </c>
      <c r="O17" s="262">
        <f t="shared" si="6"/>
        <v>2.6161943911151972</v>
      </c>
      <c r="P17" s="262">
        <f t="shared" si="7"/>
        <v>0.38223459365102186</v>
      </c>
      <c r="Q17" s="262">
        <f t="shared" si="8"/>
        <v>5.9976986704263497</v>
      </c>
      <c r="R17" s="262">
        <f t="shared" si="9"/>
        <v>0.59976986704263502</v>
      </c>
      <c r="S17" s="415">
        <f>R17*Datos!$K$18/100</f>
        <v>959313.81267573475</v>
      </c>
      <c r="T17" s="416">
        <v>3.1288322527634129</v>
      </c>
      <c r="U17" s="417">
        <v>35862758.128345504</v>
      </c>
      <c r="V17" s="414">
        <v>2.0649990527385524</v>
      </c>
      <c r="W17" s="297">
        <v>0</v>
      </c>
      <c r="X17" s="591">
        <v>14150788.689571766</v>
      </c>
      <c r="Y17" s="592">
        <v>0.20858134368646211</v>
      </c>
      <c r="Z17" s="591">
        <v>1236366.2486033337</v>
      </c>
      <c r="AA17" s="592">
        <v>3.049042</v>
      </c>
      <c r="AB17" s="591">
        <v>2531927.7049174272</v>
      </c>
      <c r="AC17" s="592">
        <v>0.05</v>
      </c>
      <c r="AD17" s="591">
        <v>936071.99999999988</v>
      </c>
      <c r="AE17" s="592">
        <v>2.5136892050445216</v>
      </c>
      <c r="AF17" s="591">
        <v>1286985.9600627522</v>
      </c>
      <c r="AG17" s="604">
        <v>180.49</v>
      </c>
      <c r="AH17" s="589">
        <f>'I S A N'!K16</f>
        <v>3.1288322527634129</v>
      </c>
      <c r="AI17" s="590">
        <f>'I S A N'!L16</f>
        <v>187095.20852188824</v>
      </c>
      <c r="AJ17" s="601">
        <f t="shared" si="10"/>
        <v>3.0639033506085318</v>
      </c>
      <c r="AK17" s="417">
        <f t="shared" si="11"/>
        <v>56192174.430022672</v>
      </c>
    </row>
    <row r="18" spans="2:37" ht="27" customHeight="1" x14ac:dyDescent="0.25">
      <c r="B18" s="435" t="s">
        <v>14</v>
      </c>
      <c r="C18" s="433">
        <v>2.81</v>
      </c>
      <c r="D18" s="279">
        <f>Datos!I$13*C18%</f>
        <v>27440437.252410002</v>
      </c>
      <c r="E18" s="262">
        <f t="shared" si="0"/>
        <v>1.6311836450290742</v>
      </c>
      <c r="F18" s="15">
        <v>17698</v>
      </c>
      <c r="G18" s="266">
        <f t="shared" si="1"/>
        <v>1.6311836450290742</v>
      </c>
      <c r="H18" s="266">
        <f t="shared" si="2"/>
        <v>0.9787101870174445</v>
      </c>
      <c r="I18" s="280">
        <f>Datos!$K$18*'PORCENTAJE Y MONTOS'!H18/100</f>
        <v>1565417.4252564516</v>
      </c>
      <c r="J18" s="262">
        <v>1.0861320000000001</v>
      </c>
      <c r="K18" s="262">
        <f t="shared" si="3"/>
        <v>5.0787933262291878</v>
      </c>
      <c r="L18" s="262">
        <f t="shared" si="4"/>
        <v>1.5236379978687562</v>
      </c>
      <c r="M18" s="15">
        <f>Datos!$K$18*'PORCENTAJE Y MONTOS'!L18/100</f>
        <v>2437013.0231454214</v>
      </c>
      <c r="N18" s="267">
        <f t="shared" si="5"/>
        <v>4002430.448401873</v>
      </c>
      <c r="O18" s="262">
        <f t="shared" si="6"/>
        <v>2.5023481848862006</v>
      </c>
      <c r="P18" s="262">
        <f t="shared" si="7"/>
        <v>0.3996246429812792</v>
      </c>
      <c r="Q18" s="262">
        <f t="shared" si="8"/>
        <v>6.2705684668267221</v>
      </c>
      <c r="R18" s="262">
        <f t="shared" si="9"/>
        <v>0.62705684668267225</v>
      </c>
      <c r="S18" s="415">
        <f>R18*Datos!$K$18/100</f>
        <v>1002958.5136073813</v>
      </c>
      <c r="T18" s="416">
        <v>3.0801263560221672</v>
      </c>
      <c r="U18" s="417">
        <v>32367006.459176436</v>
      </c>
      <c r="V18" s="414">
        <v>1.0918100328306015</v>
      </c>
      <c r="W18" s="297">
        <v>0</v>
      </c>
      <c r="X18" s="591">
        <v>12408738.233582376</v>
      </c>
      <c r="Y18" s="592">
        <v>4.6262029095690091E-2</v>
      </c>
      <c r="Z18" s="591">
        <v>754217.41597686918</v>
      </c>
      <c r="AA18" s="592">
        <v>3.1289129999999998</v>
      </c>
      <c r="AB18" s="591">
        <v>2264358.9724529465</v>
      </c>
      <c r="AC18" s="592">
        <v>0.05</v>
      </c>
      <c r="AD18" s="591">
        <v>1051488</v>
      </c>
      <c r="AE18" s="592">
        <v>1.6311836450290742</v>
      </c>
      <c r="AF18" s="591">
        <v>808494.33917667984</v>
      </c>
      <c r="AG18" s="604">
        <v>4250.7199999999993</v>
      </c>
      <c r="AH18" s="589">
        <f>'I S A N'!K17</f>
        <v>3.0801263560221672</v>
      </c>
      <c r="AI18" s="590">
        <f>'I S A N'!L17</f>
        <v>184182.73537827353</v>
      </c>
      <c r="AJ18" s="601">
        <f t="shared" si="10"/>
        <v>2.717697438586709</v>
      </c>
      <c r="AK18" s="417">
        <f t="shared" si="11"/>
        <v>49842736.875743575</v>
      </c>
    </row>
    <row r="19" spans="2:37" ht="27" customHeight="1" x14ac:dyDescent="0.25">
      <c r="B19" s="435" t="s">
        <v>15</v>
      </c>
      <c r="C19" s="433">
        <v>1.6</v>
      </c>
      <c r="D19" s="279">
        <f>Datos!I$13*C19%</f>
        <v>15624448.2576</v>
      </c>
      <c r="E19" s="262">
        <f t="shared" si="0"/>
        <v>1.2534804821107137</v>
      </c>
      <c r="F19" s="15">
        <v>13600</v>
      </c>
      <c r="G19" s="266">
        <f t="shared" si="1"/>
        <v>1.2534804821107137</v>
      </c>
      <c r="H19" s="266">
        <f t="shared" si="2"/>
        <v>0.75208828926642823</v>
      </c>
      <c r="I19" s="280">
        <f>Datos!$K$18*'PORCENTAJE Y MONTOS'!H19/100</f>
        <v>1202942.5349467592</v>
      </c>
      <c r="J19" s="262">
        <v>0.84773799999999999</v>
      </c>
      <c r="K19" s="262">
        <f t="shared" si="3"/>
        <v>3.9640541819878972</v>
      </c>
      <c r="L19" s="262">
        <f t="shared" si="4"/>
        <v>1.1892162545963691</v>
      </c>
      <c r="M19" s="15">
        <f>Datos!$K$18*'PORCENTAJE Y MONTOS'!L19/100</f>
        <v>1902115.5312754372</v>
      </c>
      <c r="N19" s="267">
        <f t="shared" si="5"/>
        <v>3105058.0662221964</v>
      </c>
      <c r="O19" s="262">
        <f t="shared" si="6"/>
        <v>1.9413045438627974</v>
      </c>
      <c r="P19" s="262">
        <f t="shared" si="7"/>
        <v>0.51511752916943432</v>
      </c>
      <c r="Q19" s="262">
        <f t="shared" si="8"/>
        <v>8.0827841622141037</v>
      </c>
      <c r="R19" s="262">
        <f t="shared" si="9"/>
        <v>0.80827841622141039</v>
      </c>
      <c r="S19" s="415">
        <f>R19*Datos!$K$18/100</f>
        <v>1292816.948260834</v>
      </c>
      <c r="T19" s="416">
        <v>2.8090630120056632</v>
      </c>
      <c r="U19" s="417">
        <v>20117459.821153555</v>
      </c>
      <c r="V19" s="414">
        <v>0.67725040954530313</v>
      </c>
      <c r="W19" s="297">
        <v>0</v>
      </c>
      <c r="X19" s="591">
        <v>7078517.3463962181</v>
      </c>
      <c r="Y19" s="592">
        <v>6.5007865313925625E-3</v>
      </c>
      <c r="Z19" s="591">
        <v>561113.08103895374</v>
      </c>
      <c r="AA19" s="592">
        <v>3.4632770000000002</v>
      </c>
      <c r="AB19" s="591">
        <v>2327385.9328370681</v>
      </c>
      <c r="AC19" s="592">
        <v>0.05</v>
      </c>
      <c r="AD19" s="591">
        <v>1842912</v>
      </c>
      <c r="AE19" s="592">
        <v>1.2534804821107137</v>
      </c>
      <c r="AF19" s="591">
        <v>610138.19187212386</v>
      </c>
      <c r="AG19" s="604">
        <v>21.83</v>
      </c>
      <c r="AH19" s="589">
        <f>'I S A N'!K18</f>
        <v>2.8090630120056632</v>
      </c>
      <c r="AI19" s="590">
        <f>'I S A N'!L18</f>
        <v>167973.92366373804</v>
      </c>
      <c r="AJ19" s="601">
        <f t="shared" si="10"/>
        <v>1.7832831678900178</v>
      </c>
      <c r="AK19" s="417">
        <f t="shared" si="11"/>
        <v>32705522.126961656</v>
      </c>
    </row>
    <row r="20" spans="2:37" ht="27" customHeight="1" x14ac:dyDescent="0.25">
      <c r="B20" s="435" t="s">
        <v>16</v>
      </c>
      <c r="C20" s="433">
        <v>2.84</v>
      </c>
      <c r="D20" s="279">
        <f>Datos!I$13*C20%</f>
        <v>27733395.65724</v>
      </c>
      <c r="E20" s="262">
        <f t="shared" si="0"/>
        <v>3.1699231045024834</v>
      </c>
      <c r="F20" s="15">
        <v>34393</v>
      </c>
      <c r="G20" s="266">
        <f t="shared" si="1"/>
        <v>3.1699231045024834</v>
      </c>
      <c r="H20" s="266">
        <f t="shared" si="2"/>
        <v>1.90195386270149</v>
      </c>
      <c r="I20" s="280">
        <f>Datos!$K$18*'PORCENTAJE Y MONTOS'!H20/100</f>
        <v>3042117.8385605798</v>
      </c>
      <c r="J20" s="262">
        <v>1.369108</v>
      </c>
      <c r="K20" s="262">
        <f t="shared" si="3"/>
        <v>6.4019995482013146</v>
      </c>
      <c r="L20" s="262">
        <f t="shared" si="4"/>
        <v>1.9205998644603943</v>
      </c>
      <c r="M20" s="15">
        <f>Datos!$K$18*'PORCENTAJE Y MONTOS'!L20/100</f>
        <v>3071941.555991888</v>
      </c>
      <c r="N20" s="267">
        <f t="shared" si="5"/>
        <v>6114059.3945524674</v>
      </c>
      <c r="O20" s="262">
        <f t="shared" si="6"/>
        <v>3.8225537271618846</v>
      </c>
      <c r="P20" s="262">
        <f t="shared" si="7"/>
        <v>0.26160521770938344</v>
      </c>
      <c r="Q20" s="262">
        <f t="shared" si="8"/>
        <v>4.1048855663354225</v>
      </c>
      <c r="R20" s="262">
        <f t="shared" si="9"/>
        <v>0.41048855663354228</v>
      </c>
      <c r="S20" s="415">
        <f>R20*Datos!$K$18/100</f>
        <v>656564.06558999408</v>
      </c>
      <c r="T20" s="416">
        <v>3.909870687264267</v>
      </c>
      <c r="U20" s="417">
        <v>33987115.895909399</v>
      </c>
      <c r="V20" s="414">
        <v>1.7689781626227554</v>
      </c>
      <c r="W20" s="297">
        <v>18.643364681516445</v>
      </c>
      <c r="X20" s="591">
        <v>14572539.466399372</v>
      </c>
      <c r="Y20" s="592">
        <v>5.9892889506914973E-2</v>
      </c>
      <c r="Z20" s="591">
        <v>1506301.7116928862</v>
      </c>
      <c r="AA20" s="592">
        <v>3.241463</v>
      </c>
      <c r="AB20" s="591">
        <v>4370131.6140182465</v>
      </c>
      <c r="AC20" s="592">
        <v>0.05</v>
      </c>
      <c r="AD20" s="591">
        <v>1039121.9999999998</v>
      </c>
      <c r="AE20" s="592">
        <v>3.1699231045024834</v>
      </c>
      <c r="AF20" s="591">
        <v>1612287.9694840407</v>
      </c>
      <c r="AG20" s="604">
        <v>2981.4900000000002</v>
      </c>
      <c r="AH20" s="589">
        <f>'I S A N'!K19</f>
        <v>3.909870687264267</v>
      </c>
      <c r="AI20" s="590">
        <f>'I S A N'!L19</f>
        <v>233799.07020622253</v>
      </c>
      <c r="AJ20" s="601">
        <f t="shared" si="10"/>
        <v>3.1256318686347435</v>
      </c>
      <c r="AK20" s="417">
        <f t="shared" si="11"/>
        <v>57324279.217710167</v>
      </c>
    </row>
    <row r="21" spans="2:37" ht="27" customHeight="1" x14ac:dyDescent="0.25">
      <c r="B21" s="435" t="s">
        <v>17</v>
      </c>
      <c r="C21" s="433">
        <v>3.33</v>
      </c>
      <c r="D21" s="279">
        <f>Datos!I$13*C21%</f>
        <v>32518382.936130002</v>
      </c>
      <c r="E21" s="262">
        <f t="shared" si="0"/>
        <v>2.1630833407835541</v>
      </c>
      <c r="F21" s="15">
        <v>23469</v>
      </c>
      <c r="G21" s="266">
        <f t="shared" si="1"/>
        <v>2.1630833407835541</v>
      </c>
      <c r="H21" s="266">
        <f t="shared" si="2"/>
        <v>1.2978500044701324</v>
      </c>
      <c r="I21" s="280">
        <f>Datos!$K$18*'PORCENTAJE Y MONTOS'!H21/100</f>
        <v>2075871.9376959917</v>
      </c>
      <c r="J21" s="262">
        <v>0.71338900000000005</v>
      </c>
      <c r="K21" s="262">
        <f t="shared" si="3"/>
        <v>3.3358332985358259</v>
      </c>
      <c r="L21" s="262">
        <f t="shared" si="4"/>
        <v>1.0007499895607477</v>
      </c>
      <c r="M21" s="15">
        <f>Datos!$K$18*'PORCENTAJE Y MONTOS'!L21/100</f>
        <v>1600669.4246819806</v>
      </c>
      <c r="N21" s="267">
        <f t="shared" si="5"/>
        <v>3676541.3623779723</v>
      </c>
      <c r="O21" s="262">
        <f t="shared" si="6"/>
        <v>2.2985999940308801</v>
      </c>
      <c r="P21" s="262">
        <f t="shared" si="7"/>
        <v>0.4350474212985514</v>
      </c>
      <c r="Q21" s="262">
        <f t="shared" si="8"/>
        <v>6.8263924397094096</v>
      </c>
      <c r="R21" s="262">
        <f t="shared" si="9"/>
        <v>0.682639243970941</v>
      </c>
      <c r="S21" s="415">
        <f>R21*Datos!$K$18/100</f>
        <v>1091860.8816492825</v>
      </c>
      <c r="T21" s="416">
        <v>6.6288038159199107</v>
      </c>
      <c r="U21" s="417">
        <v>43120954.708342008</v>
      </c>
      <c r="V21" s="414">
        <v>1.6143874458902974</v>
      </c>
      <c r="W21" s="297">
        <v>0</v>
      </c>
      <c r="X21" s="591">
        <v>14780241.842901155</v>
      </c>
      <c r="Y21" s="592">
        <v>0.11834346789246619</v>
      </c>
      <c r="Z21" s="591">
        <v>997880.01277051726</v>
      </c>
      <c r="AA21" s="592">
        <v>3.0126210000000002</v>
      </c>
      <c r="AB21" s="591">
        <v>2457583.687467081</v>
      </c>
      <c r="AC21" s="592">
        <v>0.05</v>
      </c>
      <c r="AD21" s="591">
        <v>888669</v>
      </c>
      <c r="AE21" s="592">
        <v>2.1630833407835541</v>
      </c>
      <c r="AF21" s="591">
        <v>1060048.5427258729</v>
      </c>
      <c r="AG21" s="604">
        <v>197.10000000000002</v>
      </c>
      <c r="AH21" s="589">
        <f>'I S A N'!K20</f>
        <v>6.6288038159199107</v>
      </c>
      <c r="AI21" s="590">
        <f>'I S A N'!L20</f>
        <v>396383.48495508282</v>
      </c>
      <c r="AJ21" s="601">
        <f t="shared" si="10"/>
        <v>3.4733776668723957</v>
      </c>
      <c r="AK21" s="417">
        <f t="shared" si="11"/>
        <v>63701958.379161723</v>
      </c>
    </row>
    <row r="22" spans="2:37" ht="27" customHeight="1" x14ac:dyDescent="0.25">
      <c r="B22" s="435" t="s">
        <v>18</v>
      </c>
      <c r="C22" s="433">
        <v>4.6900000000000004</v>
      </c>
      <c r="D22" s="279">
        <f>Datos!I$13*C22%</f>
        <v>45799163.955090009</v>
      </c>
      <c r="E22" s="262">
        <f t="shared" si="0"/>
        <v>3.9742704697510276</v>
      </c>
      <c r="F22" s="15">
        <v>43120</v>
      </c>
      <c r="G22" s="266">
        <f t="shared" si="1"/>
        <v>3.9742704697510276</v>
      </c>
      <c r="H22" s="266">
        <f t="shared" si="2"/>
        <v>2.3845622818506165</v>
      </c>
      <c r="I22" s="280">
        <f>Datos!$K$18*'PORCENTAJE Y MONTOS'!H22/100</f>
        <v>3814035.4490370774</v>
      </c>
      <c r="J22" s="262">
        <v>0.39641700000000002</v>
      </c>
      <c r="K22" s="262">
        <f t="shared" si="3"/>
        <v>1.8536605256118004</v>
      </c>
      <c r="L22" s="262">
        <f t="shared" si="4"/>
        <v>0.5560981576835401</v>
      </c>
      <c r="M22" s="15">
        <f>Datos!$K$18*'PORCENTAJE Y MONTOS'!L22/100</f>
        <v>889462.23073828826</v>
      </c>
      <c r="N22" s="267">
        <f t="shared" si="5"/>
        <v>4703497.6797753656</v>
      </c>
      <c r="O22" s="262">
        <f t="shared" si="6"/>
        <v>2.9406604395341565</v>
      </c>
      <c r="P22" s="262">
        <f t="shared" si="7"/>
        <v>0.3400596636578736</v>
      </c>
      <c r="Q22" s="262">
        <f t="shared" si="8"/>
        <v>5.3359257023412736</v>
      </c>
      <c r="R22" s="262">
        <f t="shared" si="9"/>
        <v>0.53359257023412743</v>
      </c>
      <c r="S22" s="415">
        <f>R22*Datos!$K$18/100</f>
        <v>853465.2224039759</v>
      </c>
      <c r="T22" s="416">
        <v>4.3204890389050385</v>
      </c>
      <c r="U22" s="417">
        <v>52709655.862548709</v>
      </c>
      <c r="V22" s="414">
        <v>2.3649910755367785</v>
      </c>
      <c r="W22" s="297">
        <v>0</v>
      </c>
      <c r="X22" s="591">
        <v>20838037.598240636</v>
      </c>
      <c r="Y22" s="592">
        <v>0.15418888625940524</v>
      </c>
      <c r="Z22" s="591">
        <v>1772049.1321479075</v>
      </c>
      <c r="AA22" s="592">
        <v>3.5975600000000001</v>
      </c>
      <c r="AB22" s="591">
        <v>3169316.0205579558</v>
      </c>
      <c r="AC22" s="592">
        <v>0.05</v>
      </c>
      <c r="AD22" s="591">
        <v>631044</v>
      </c>
      <c r="AE22" s="592">
        <v>3.9742704697510276</v>
      </c>
      <c r="AF22" s="591">
        <v>1904701.770259263</v>
      </c>
      <c r="AG22" s="604">
        <v>153.22</v>
      </c>
      <c r="AH22" s="589">
        <f>'I S A N'!K21</f>
        <v>4.3204890389050385</v>
      </c>
      <c r="AI22" s="590">
        <f>'I S A N'!L21</f>
        <v>258352.87172603613</v>
      </c>
      <c r="AJ22" s="601">
        <f t="shared" si="10"/>
        <v>4.4320087243557102</v>
      </c>
      <c r="AK22" s="417">
        <f t="shared" si="11"/>
        <v>81283310.475480512</v>
      </c>
    </row>
    <row r="23" spans="2:37" ht="27" customHeight="1" x14ac:dyDescent="0.25">
      <c r="B23" s="435" t="s">
        <v>19</v>
      </c>
      <c r="C23" s="433">
        <v>2.13</v>
      </c>
      <c r="D23" s="279">
        <f>Datos!I$13*C23%</f>
        <v>20800046.742929999</v>
      </c>
      <c r="E23" s="262">
        <f t="shared" si="0"/>
        <v>0.69217929563613667</v>
      </c>
      <c r="F23" s="15">
        <v>7510</v>
      </c>
      <c r="G23" s="266">
        <f t="shared" si="1"/>
        <v>0.69217929563613667</v>
      </c>
      <c r="H23" s="266">
        <f t="shared" si="2"/>
        <v>0.415307577381682</v>
      </c>
      <c r="I23" s="280">
        <f>Datos!$K$18*'PORCENTAJE Y MONTOS'!H23/100</f>
        <v>664271.94393015886</v>
      </c>
      <c r="J23" s="262">
        <v>0.79456599999999999</v>
      </c>
      <c r="K23" s="262">
        <f t="shared" si="3"/>
        <v>3.7154199471598481</v>
      </c>
      <c r="L23" s="262">
        <f t="shared" si="4"/>
        <v>1.1146259841479544</v>
      </c>
      <c r="M23" s="15">
        <f>Datos!$K$18*'PORCENTAJE Y MONTOS'!L23/100</f>
        <v>1782810.6434103451</v>
      </c>
      <c r="N23" s="267">
        <f t="shared" si="5"/>
        <v>2447082.5873405039</v>
      </c>
      <c r="O23" s="262">
        <f t="shared" si="6"/>
        <v>1.5299335615296363</v>
      </c>
      <c r="P23" s="262">
        <f t="shared" si="7"/>
        <v>0.65362315406702642</v>
      </c>
      <c r="Q23" s="262">
        <f t="shared" si="8"/>
        <v>10.256096091833161</v>
      </c>
      <c r="R23" s="262">
        <f t="shared" si="9"/>
        <v>1.0256096091833162</v>
      </c>
      <c r="S23" s="415">
        <f>R23*Datos!$K$18/100</f>
        <v>1640431.6364772916</v>
      </c>
      <c r="T23" s="416">
        <v>2.6474001683410848</v>
      </c>
      <c r="U23" s="417">
        <v>25034483.463955086</v>
      </c>
      <c r="V23" s="414">
        <v>0.45684711062665517</v>
      </c>
      <c r="W23" s="297">
        <v>13.331408364126613</v>
      </c>
      <c r="X23" s="591">
        <v>10659766.36688583</v>
      </c>
      <c r="Y23" s="592">
        <v>7.8715655277945031E-3</v>
      </c>
      <c r="Z23" s="591">
        <v>332174.33019998268</v>
      </c>
      <c r="AA23" s="592">
        <v>5.1672729999999998</v>
      </c>
      <c r="AB23" s="591">
        <v>1479073.8403125694</v>
      </c>
      <c r="AC23" s="592">
        <v>0.05</v>
      </c>
      <c r="AD23" s="591">
        <v>1385370</v>
      </c>
      <c r="AE23" s="592">
        <v>0.69217929563613667</v>
      </c>
      <c r="AF23" s="591">
        <v>355852.59968453308</v>
      </c>
      <c r="AG23" s="604">
        <v>0</v>
      </c>
      <c r="AH23" s="589">
        <f>'I S A N'!K22</f>
        <v>2.6474001683410848</v>
      </c>
      <c r="AI23" s="590">
        <f>'I S A N'!L22</f>
        <v>158306.9485745648</v>
      </c>
      <c r="AJ23" s="601">
        <f t="shared" si="10"/>
        <v>2.1485766864286613</v>
      </c>
      <c r="AK23" s="417">
        <f t="shared" si="11"/>
        <v>39405027.549612567</v>
      </c>
    </row>
    <row r="24" spans="2:37" ht="27" customHeight="1" x14ac:dyDescent="0.25">
      <c r="B24" s="435" t="s">
        <v>20</v>
      </c>
      <c r="C24" s="433">
        <v>2.81</v>
      </c>
      <c r="D24" s="279">
        <f>Datos!I$13*C24%</f>
        <v>27440437.252410002</v>
      </c>
      <c r="E24" s="262">
        <f t="shared" si="0"/>
        <v>2.0656621003724496</v>
      </c>
      <c r="F24" s="15">
        <v>22412</v>
      </c>
      <c r="G24" s="266">
        <f t="shared" si="1"/>
        <v>2.0656621003724496</v>
      </c>
      <c r="H24" s="266">
        <f t="shared" si="2"/>
        <v>1.2393972602234697</v>
      </c>
      <c r="I24" s="280">
        <f>Datos!$K$18*'PORCENTAJE Y MONTOS'!H24/100</f>
        <v>1982378.5362666741</v>
      </c>
      <c r="J24" s="262">
        <v>1.099386</v>
      </c>
      <c r="K24" s="262">
        <f t="shared" si="3"/>
        <v>5.1407695194965264</v>
      </c>
      <c r="L24" s="262">
        <f t="shared" si="4"/>
        <v>1.5422308558489579</v>
      </c>
      <c r="M24" s="15">
        <f>Datos!$K$18*'PORCENTAJE Y MONTOS'!L24/100</f>
        <v>2466751.7387055643</v>
      </c>
      <c r="N24" s="267">
        <f t="shared" si="5"/>
        <v>4449130.2749722386</v>
      </c>
      <c r="O24" s="262">
        <f t="shared" si="6"/>
        <v>2.7816281160724277</v>
      </c>
      <c r="P24" s="262">
        <f t="shared" si="7"/>
        <v>0.35950168687968576</v>
      </c>
      <c r="Q24" s="262">
        <f t="shared" si="8"/>
        <v>5.6409933198848687</v>
      </c>
      <c r="R24" s="262">
        <f t="shared" si="9"/>
        <v>0.56409933198848694</v>
      </c>
      <c r="S24" s="415">
        <f>R24*Datos!$K$18/100</f>
        <v>902259.86771563266</v>
      </c>
      <c r="T24" s="416">
        <v>3.2377311531080917</v>
      </c>
      <c r="U24" s="417">
        <v>32619090.578597087</v>
      </c>
      <c r="V24" s="414">
        <v>1.2531528775751197</v>
      </c>
      <c r="W24" s="297">
        <v>0</v>
      </c>
      <c r="X24" s="591">
        <v>12446603.010079069</v>
      </c>
      <c r="Y24" s="592">
        <v>4.6728981839428085E-2</v>
      </c>
      <c r="Z24" s="591">
        <v>1014380.2163723769</v>
      </c>
      <c r="AA24" s="592">
        <v>3.0150969999999999</v>
      </c>
      <c r="AB24" s="591">
        <v>2222719.7851794674</v>
      </c>
      <c r="AC24" s="592">
        <v>0.05</v>
      </c>
      <c r="AD24" s="591">
        <v>1051488</v>
      </c>
      <c r="AE24" s="592">
        <v>2.0656621003724496</v>
      </c>
      <c r="AF24" s="591">
        <v>1078209.4171277969</v>
      </c>
      <c r="AG24" s="604">
        <v>562.5</v>
      </c>
      <c r="AH24" s="589">
        <f>'I S A N'!K23</f>
        <v>3.2377311531080917</v>
      </c>
      <c r="AI24" s="590">
        <f>'I S A N'!L23</f>
        <v>193607.05090327418</v>
      </c>
      <c r="AJ24" s="601">
        <f t="shared" si="10"/>
        <v>2.7604412267003311</v>
      </c>
      <c r="AK24" s="417">
        <f t="shared" si="11"/>
        <v>50626660.55825907</v>
      </c>
    </row>
    <row r="25" spans="2:37" ht="27" customHeight="1" x14ac:dyDescent="0.25">
      <c r="B25" s="435" t="s">
        <v>27</v>
      </c>
      <c r="C25" s="433">
        <v>8.34</v>
      </c>
      <c r="D25" s="279">
        <f>Datos!I$13*C25%</f>
        <v>81442436.542740002</v>
      </c>
      <c r="E25" s="262">
        <f t="shared" si="0"/>
        <v>8.5784148817626882</v>
      </c>
      <c r="F25" s="15">
        <v>93074</v>
      </c>
      <c r="G25" s="266">
        <f t="shared" si="1"/>
        <v>8.5784148817626882</v>
      </c>
      <c r="H25" s="266">
        <f t="shared" si="2"/>
        <v>5.1470489290576129</v>
      </c>
      <c r="I25" s="280">
        <f>Datos!$K$18*'PORCENTAJE Y MONTOS'!H25/100</f>
        <v>8232549.5218849014</v>
      </c>
      <c r="J25" s="262">
        <v>0.94212600000000002</v>
      </c>
      <c r="K25" s="262">
        <f t="shared" si="3"/>
        <v>4.4054159542919269</v>
      </c>
      <c r="L25" s="262">
        <f t="shared" si="4"/>
        <v>1.3216247862875781</v>
      </c>
      <c r="M25" s="15">
        <f>Datos!$K$18*'PORCENTAJE Y MONTOS'!L25/100</f>
        <v>2113898.9841418015</v>
      </c>
      <c r="N25" s="267">
        <f t="shared" si="5"/>
        <v>10346448.506026704</v>
      </c>
      <c r="O25" s="262">
        <f t="shared" si="6"/>
        <v>6.468673715345191</v>
      </c>
      <c r="P25" s="262">
        <f t="shared" si="7"/>
        <v>0.1545911950432387</v>
      </c>
      <c r="Q25" s="262">
        <f t="shared" si="8"/>
        <v>2.4257129531739197</v>
      </c>
      <c r="R25" s="262">
        <f t="shared" si="9"/>
        <v>0.24257129531739197</v>
      </c>
      <c r="S25" s="415">
        <f>R25*Datos!$K$18/100</f>
        <v>387985.47066733032</v>
      </c>
      <c r="T25" s="416">
        <v>6.4909905550687617</v>
      </c>
      <c r="U25" s="417">
        <v>91824580.160806358</v>
      </c>
      <c r="V25" s="414">
        <v>5.3784876357455138</v>
      </c>
      <c r="W25" s="297">
        <v>56.540814086484851</v>
      </c>
      <c r="X25" s="591">
        <v>43017384.320088707</v>
      </c>
      <c r="Y25" s="592">
        <v>0.95943634412970213</v>
      </c>
      <c r="Z25" s="591">
        <v>4106585.3925034334</v>
      </c>
      <c r="AA25" s="592">
        <v>6.3827340000000001</v>
      </c>
      <c r="AB25" s="591">
        <v>7577637.2744818553</v>
      </c>
      <c r="AC25" s="592">
        <v>0.05</v>
      </c>
      <c r="AD25" s="591">
        <v>354870</v>
      </c>
      <c r="AE25" s="592">
        <v>8.5784148817626882</v>
      </c>
      <c r="AF25" s="591">
        <v>4248876.4687467683</v>
      </c>
      <c r="AG25" s="604">
        <v>1283.2599999999998</v>
      </c>
      <c r="AH25" s="589">
        <f>'I S A N'!K24</f>
        <v>6.4909905550687617</v>
      </c>
      <c r="AI25" s="590">
        <f>'I S A N'!L24</f>
        <v>388142.64661890984</v>
      </c>
      <c r="AJ25" s="601">
        <f t="shared" si="10"/>
        <v>8.2616605965918133</v>
      </c>
      <c r="AK25" s="417">
        <f t="shared" si="11"/>
        <v>151519359.52324605</v>
      </c>
    </row>
    <row r="26" spans="2:37" ht="27" customHeight="1" x14ac:dyDescent="0.25">
      <c r="B26" s="435" t="s">
        <v>21</v>
      </c>
      <c r="C26" s="433">
        <v>3.5</v>
      </c>
      <c r="D26" s="279">
        <f>Datos!I$13*C26%</f>
        <v>34178480.563500002</v>
      </c>
      <c r="E26" s="262">
        <f t="shared" si="0"/>
        <v>3.6642183857936419</v>
      </c>
      <c r="F26" s="15">
        <v>39756</v>
      </c>
      <c r="G26" s="266">
        <f t="shared" si="1"/>
        <v>3.6642183857936419</v>
      </c>
      <c r="H26" s="266">
        <f t="shared" si="2"/>
        <v>2.1985310314761852</v>
      </c>
      <c r="I26" s="280">
        <f>Datos!$K$18*'PORCENTAJE Y MONTOS'!H26/100</f>
        <v>3516484.0749517172</v>
      </c>
      <c r="J26" s="262">
        <v>2.345564</v>
      </c>
      <c r="K26" s="262">
        <f t="shared" si="3"/>
        <v>10.967943849774647</v>
      </c>
      <c r="L26" s="262">
        <f t="shared" si="4"/>
        <v>3.2903831549323939</v>
      </c>
      <c r="M26" s="15">
        <f>Datos!$K$18*'PORCENTAJE Y MONTOS'!L26/100</f>
        <v>5262868.6150680277</v>
      </c>
      <c r="N26" s="267">
        <f t="shared" si="5"/>
        <v>8779352.6900197454</v>
      </c>
      <c r="O26" s="262">
        <f t="shared" si="6"/>
        <v>5.4889141864085786</v>
      </c>
      <c r="P26" s="262">
        <f t="shared" si="7"/>
        <v>0.18218539515085852</v>
      </c>
      <c r="Q26" s="262">
        <f t="shared" si="8"/>
        <v>2.8586975653622453</v>
      </c>
      <c r="R26" s="262">
        <f t="shared" si="9"/>
        <v>0.28586975653622454</v>
      </c>
      <c r="S26" s="415">
        <f>R26*Datos!$K$18/100</f>
        <v>457240.05346196418</v>
      </c>
      <c r="T26" s="416">
        <v>4.2259840712929906</v>
      </c>
      <c r="U26" s="417">
        <v>40937814.625627562</v>
      </c>
      <c r="V26" s="414">
        <v>2.901378215862068</v>
      </c>
      <c r="W26" s="297">
        <v>0</v>
      </c>
      <c r="X26" s="591">
        <v>15817484.543654207</v>
      </c>
      <c r="Y26" s="592">
        <v>0.40228871220834</v>
      </c>
      <c r="Z26" s="591">
        <v>1808558.0632335446</v>
      </c>
      <c r="AA26" s="592">
        <v>3.4495339999999999</v>
      </c>
      <c r="AB26" s="591">
        <v>4025154.9967094567</v>
      </c>
      <c r="AC26" s="592">
        <v>0.05</v>
      </c>
      <c r="AD26" s="591">
        <v>845388.00000000012</v>
      </c>
      <c r="AE26" s="592">
        <v>3.6642183857936419</v>
      </c>
      <c r="AF26" s="591">
        <v>1864236.0605270702</v>
      </c>
      <c r="AG26" s="604">
        <v>468.68</v>
      </c>
      <c r="AH26" s="589">
        <f>'I S A N'!K25</f>
        <v>4.2259840712929906</v>
      </c>
      <c r="AI26" s="590">
        <f>'I S A N'!L25</f>
        <v>252701.74530143666</v>
      </c>
      <c r="AJ26" s="601">
        <f t="shared" si="10"/>
        <v>3.5742414716983495</v>
      </c>
      <c r="AK26" s="417">
        <f t="shared" si="11"/>
        <v>65551806.715053283</v>
      </c>
    </row>
    <row r="27" spans="2:37" ht="27" customHeight="1" x14ac:dyDescent="0.25">
      <c r="B27" s="435" t="s">
        <v>22</v>
      </c>
      <c r="C27" s="433">
        <v>39</v>
      </c>
      <c r="D27" s="279">
        <f>Datos!I$13*C27%</f>
        <v>380845926.27900004</v>
      </c>
      <c r="E27" s="262">
        <f t="shared" si="0"/>
        <v>35.046669106037996</v>
      </c>
      <c r="F27" s="15">
        <v>380249</v>
      </c>
      <c r="G27" s="266">
        <f t="shared" si="1"/>
        <v>35.046669106037996</v>
      </c>
      <c r="H27" s="266">
        <f t="shared" si="2"/>
        <v>21.028001463622797</v>
      </c>
      <c r="I27" s="280">
        <f>Datos!$K$18*'PORCENTAJE Y MONTOS'!H27/100</f>
        <v>33633654.115512513</v>
      </c>
      <c r="J27" s="262">
        <v>0.84406499999999995</v>
      </c>
      <c r="K27" s="262">
        <f t="shared" si="3"/>
        <v>3.9468790984002302</v>
      </c>
      <c r="L27" s="262">
        <f t="shared" si="4"/>
        <v>1.1840637295200691</v>
      </c>
      <c r="M27" s="15">
        <f>Datos!$K$18*'PORCENTAJE Y MONTOS'!L27/100</f>
        <v>1893874.222821204</v>
      </c>
      <c r="N27" s="267">
        <f t="shared" si="5"/>
        <v>35527528.338333718</v>
      </c>
      <c r="O27" s="262">
        <f t="shared" si="6"/>
        <v>22.212065193142866</v>
      </c>
      <c r="P27" s="262">
        <f t="shared" si="7"/>
        <v>4.5020577389116981E-2</v>
      </c>
      <c r="Q27" s="262">
        <f t="shared" si="8"/>
        <v>0.7064244357617202</v>
      </c>
      <c r="R27" s="262">
        <f t="shared" si="9"/>
        <v>7.0642443576172026E-2</v>
      </c>
      <c r="S27" s="415">
        <f>R27*Datos!$K$18/100</f>
        <v>112990.45785334642</v>
      </c>
      <c r="T27" s="416">
        <v>22.779984160517319</v>
      </c>
      <c r="U27" s="417">
        <v>417281823.87664521</v>
      </c>
      <c r="V27" s="414">
        <v>38.034785749414951</v>
      </c>
      <c r="W27" s="297">
        <v>0</v>
      </c>
      <c r="X27" s="591">
        <v>177590883.15628031</v>
      </c>
      <c r="Y27" s="592">
        <v>73.809565412421506</v>
      </c>
      <c r="Z27" s="591">
        <v>30408445.737355597</v>
      </c>
      <c r="AA27" s="592">
        <v>24.625153999999998</v>
      </c>
      <c r="AB27" s="591">
        <v>26107578.359450024</v>
      </c>
      <c r="AC27" s="592">
        <v>0.05</v>
      </c>
      <c r="AD27" s="591">
        <v>80757</v>
      </c>
      <c r="AE27" s="592">
        <v>35.046669106037996</v>
      </c>
      <c r="AF27" s="591">
        <v>17020841.644316778</v>
      </c>
      <c r="AG27" s="604">
        <v>59050.679999999993</v>
      </c>
      <c r="AH27" s="589">
        <f>'I S A N'!K26</f>
        <v>22.779984160517319</v>
      </c>
      <c r="AI27" s="590">
        <f>'I S A N'!L26</f>
        <v>1362177.8166192959</v>
      </c>
      <c r="AJ27" s="601">
        <f t="shared" si="10"/>
        <v>36.527226234196668</v>
      </c>
      <c r="AK27" s="417">
        <f t="shared" si="11"/>
        <v>669911558.27066708</v>
      </c>
    </row>
    <row r="28" spans="2:37" ht="27" customHeight="1" x14ac:dyDescent="0.25">
      <c r="B28" s="435" t="s">
        <v>23</v>
      </c>
      <c r="C28" s="433">
        <v>3.79</v>
      </c>
      <c r="D28" s="279">
        <f>Datos!I$13*C28%</f>
        <v>37010411.810190007</v>
      </c>
      <c r="E28" s="262">
        <f t="shared" si="0"/>
        <v>2.7677955057194654</v>
      </c>
      <c r="F28" s="15">
        <v>30030</v>
      </c>
      <c r="G28" s="266">
        <f t="shared" si="1"/>
        <v>2.7677955057194654</v>
      </c>
      <c r="H28" s="266">
        <f t="shared" si="2"/>
        <v>1.6606773034316793</v>
      </c>
      <c r="I28" s="280">
        <f>Datos!$K$18*'PORCENTAJE Y MONTOS'!H28/100</f>
        <v>2656203.2591508217</v>
      </c>
      <c r="J28" s="262">
        <v>0.97075900000000004</v>
      </c>
      <c r="K28" s="262">
        <f t="shared" si="3"/>
        <v>4.5393049192703279</v>
      </c>
      <c r="L28" s="262">
        <f t="shared" si="4"/>
        <v>1.3617914757810983</v>
      </c>
      <c r="M28" s="15">
        <f>Datos!$K$18*'PORCENTAJE Y MONTOS'!L28/100</f>
        <v>2178144.3925191653</v>
      </c>
      <c r="N28" s="267">
        <f t="shared" si="5"/>
        <v>4834347.6516699865</v>
      </c>
      <c r="O28" s="262">
        <f t="shared" si="6"/>
        <v>3.0224687792127778</v>
      </c>
      <c r="P28" s="262">
        <f t="shared" si="7"/>
        <v>0.33085536131177395</v>
      </c>
      <c r="Q28" s="262">
        <f t="shared" si="8"/>
        <v>5.1914996538873615</v>
      </c>
      <c r="R28" s="262">
        <f t="shared" si="9"/>
        <v>0.51914996538873615</v>
      </c>
      <c r="S28" s="415">
        <f>R28*Datos!$K$18/100</f>
        <v>830364.71155717736</v>
      </c>
      <c r="T28" s="416">
        <v>2.90680697549907</v>
      </c>
      <c r="U28" s="417">
        <v>41659761.895295575</v>
      </c>
      <c r="V28" s="414">
        <v>1.5155319175783291</v>
      </c>
      <c r="W28" s="297">
        <v>11.064310274704589</v>
      </c>
      <c r="X28" s="591">
        <v>17859261.551444694</v>
      </c>
      <c r="Y28" s="592">
        <v>3.7408658448237153E-2</v>
      </c>
      <c r="Z28" s="591">
        <v>1329884.4932770769</v>
      </c>
      <c r="AA28" s="592">
        <v>3.108533</v>
      </c>
      <c r="AB28" s="591">
        <v>2587328.4222614593</v>
      </c>
      <c r="AC28" s="592">
        <v>0.05</v>
      </c>
      <c r="AD28" s="591">
        <v>781496.99999999988</v>
      </c>
      <c r="AE28" s="592">
        <v>2.7677955057194654</v>
      </c>
      <c r="AF28" s="591">
        <v>1427212.1002698438</v>
      </c>
      <c r="AG28" s="604">
        <v>0</v>
      </c>
      <c r="AH28" s="589">
        <f>'I S A N'!K27</f>
        <v>2.90680697549907</v>
      </c>
      <c r="AI28" s="590">
        <f>'I S A N'!L27</f>
        <v>173818.73276636831</v>
      </c>
      <c r="AJ28" s="601">
        <f t="shared" si="10"/>
        <v>3.5887974472686235</v>
      </c>
      <c r="AK28" s="417">
        <f t="shared" si="11"/>
        <v>65818764.195315026</v>
      </c>
    </row>
    <row r="29" spans="2:37" ht="27" customHeight="1" thickBot="1" x14ac:dyDescent="0.3">
      <c r="B29" s="436" t="s">
        <v>24</v>
      </c>
      <c r="C29" s="437">
        <v>3.1</v>
      </c>
      <c r="D29" s="438">
        <f>Datos!I$13*C29%</f>
        <v>30272368.4991</v>
      </c>
      <c r="E29" s="439">
        <f t="shared" si="0"/>
        <v>4.5256175465147246</v>
      </c>
      <c r="F29" s="440">
        <v>49102</v>
      </c>
      <c r="G29" s="441">
        <f t="shared" si="1"/>
        <v>4.5256175465147246</v>
      </c>
      <c r="H29" s="441">
        <f t="shared" si="2"/>
        <v>2.7153705279088345</v>
      </c>
      <c r="I29" s="442">
        <f>Datos!$K$18*'PORCENTAJE Y MONTOS'!H29/100</f>
        <v>4343153.2610996878</v>
      </c>
      <c r="J29" s="439">
        <v>1.0003390000000001</v>
      </c>
      <c r="K29" s="439">
        <f t="shared" si="3"/>
        <v>4.6776220912069428</v>
      </c>
      <c r="L29" s="439">
        <f t="shared" si="4"/>
        <v>1.4032866273620828</v>
      </c>
      <c r="M29" s="440">
        <f>Datos!$K$18*'PORCENTAJE Y MONTOS'!L29/100</f>
        <v>2244514.6359376833</v>
      </c>
      <c r="N29" s="443">
        <f t="shared" si="5"/>
        <v>6587667.8970373711</v>
      </c>
      <c r="O29" s="439">
        <f t="shared" si="6"/>
        <v>4.1186571552709168</v>
      </c>
      <c r="P29" s="439">
        <f t="shared" si="7"/>
        <v>0.24279758239168661</v>
      </c>
      <c r="Q29" s="439">
        <f t="shared" si="8"/>
        <v>3.80977222177561</v>
      </c>
      <c r="R29" s="439">
        <f t="shared" si="9"/>
        <v>0.38097722217756103</v>
      </c>
      <c r="S29" s="379">
        <f>R29*Datos!$K$18/100</f>
        <v>609361.57621901063</v>
      </c>
      <c r="T29" s="444">
        <v>4.4858183682029029</v>
      </c>
      <c r="U29" s="445">
        <v>37447299.68227274</v>
      </c>
      <c r="V29" s="475">
        <v>4.6661411964243795</v>
      </c>
      <c r="W29" s="476">
        <v>0</v>
      </c>
      <c r="X29" s="593">
        <v>14501754.106581965</v>
      </c>
      <c r="Y29" s="594">
        <v>1.1167634895921184</v>
      </c>
      <c r="Z29" s="593">
        <v>2216255.0761153153</v>
      </c>
      <c r="AA29" s="595">
        <v>3.884144</v>
      </c>
      <c r="AB29" s="596">
        <v>3596306.5975471758</v>
      </c>
      <c r="AC29" s="595">
        <v>0.05</v>
      </c>
      <c r="AD29" s="596">
        <v>952560</v>
      </c>
      <c r="AE29" s="595">
        <v>4.5256175465147246</v>
      </c>
      <c r="AF29" s="596">
        <v>2177499.2539893398</v>
      </c>
      <c r="AG29" s="605">
        <v>254.7</v>
      </c>
      <c r="AH29" s="589">
        <f>'I S A N'!K28</f>
        <v>4.4858183682029029</v>
      </c>
      <c r="AI29" s="590">
        <f>'I S A N'!L28</f>
        <v>268239.09215618164</v>
      </c>
      <c r="AJ29" s="602">
        <f t="shared" si="10"/>
        <v>3.3347854415356979</v>
      </c>
      <c r="AK29" s="502">
        <f t="shared" si="11"/>
        <v>61160168.508662716</v>
      </c>
    </row>
    <row r="30" spans="2:37" ht="15.75" thickBot="1" x14ac:dyDescent="0.3">
      <c r="B30" s="254" t="s">
        <v>25</v>
      </c>
      <c r="C30" s="446">
        <f>SUM(C10:C29)</f>
        <v>100</v>
      </c>
      <c r="D30" s="447">
        <f>SUM(D10:D29)</f>
        <v>976528016.0999999</v>
      </c>
      <c r="E30" s="120">
        <f>SUM(E10:E29)</f>
        <v>99.999999999999986</v>
      </c>
      <c r="F30" s="125">
        <f>SUM(F10:F29)</f>
        <v>1084979</v>
      </c>
      <c r="G30" s="119">
        <f t="shared" si="1"/>
        <v>99.999999999999986</v>
      </c>
      <c r="H30" s="119">
        <f t="shared" ref="H30:M30" si="12">SUM(H10:H29)</f>
        <v>59.999999999999993</v>
      </c>
      <c r="I30" s="448">
        <f t="shared" si="12"/>
        <v>95968190.339999974</v>
      </c>
      <c r="J30" s="449">
        <f t="shared" si="12"/>
        <v>21.385630999999997</v>
      </c>
      <c r="K30" s="450">
        <f t="shared" si="12"/>
        <v>100.00000000000001</v>
      </c>
      <c r="L30" s="450">
        <f t="shared" si="12"/>
        <v>29.999999999999996</v>
      </c>
      <c r="M30" s="451">
        <f t="shared" si="12"/>
        <v>47984095.170000002</v>
      </c>
      <c r="N30" s="452">
        <f t="shared" si="5"/>
        <v>143952285.50999999</v>
      </c>
      <c r="O30" s="450">
        <f t="shared" ref="O30:U30" si="13">SUM(O10:O29)</f>
        <v>90</v>
      </c>
      <c r="P30" s="450">
        <f t="shared" si="13"/>
        <v>6.3730209644535289</v>
      </c>
      <c r="Q30" s="450">
        <f t="shared" si="13"/>
        <v>100</v>
      </c>
      <c r="R30" s="449">
        <f t="shared" si="13"/>
        <v>10.000000000000002</v>
      </c>
      <c r="S30" s="453">
        <f t="shared" si="13"/>
        <v>15994698.390000001</v>
      </c>
      <c r="T30" s="454">
        <f>SUM(T10:T29)</f>
        <v>99.999999999999986</v>
      </c>
      <c r="U30" s="455">
        <f t="shared" si="13"/>
        <v>1136474999.9999998</v>
      </c>
      <c r="V30" s="456">
        <v>100</v>
      </c>
      <c r="W30" s="457">
        <v>100</v>
      </c>
      <c r="X30" s="597">
        <f>SUM(X10:X29)</f>
        <v>466000000.00000006</v>
      </c>
      <c r="Y30" s="454">
        <v>100</v>
      </c>
      <c r="Z30" s="597">
        <f t="shared" ref="Z30:AF30" si="14">SUM(Z10:Z29)</f>
        <v>64125000</v>
      </c>
      <c r="AA30" s="454">
        <v>99.999999999999986</v>
      </c>
      <c r="AB30" s="597">
        <f t="shared" si="14"/>
        <v>92474999.98341997</v>
      </c>
      <c r="AC30" s="454">
        <v>100</v>
      </c>
      <c r="AD30" s="597">
        <f t="shared" si="14"/>
        <v>20700000</v>
      </c>
      <c r="AE30" s="454">
        <v>99.999999999999986</v>
      </c>
      <c r="AF30" s="597">
        <f t="shared" si="14"/>
        <v>48163216.5</v>
      </c>
      <c r="AG30" s="606">
        <f>SUM(AG10:AG29)</f>
        <v>88172.559999999983</v>
      </c>
      <c r="AH30" s="598">
        <f>SUM(AH10:AH29)</f>
        <v>99.999999999999986</v>
      </c>
      <c r="AI30" s="599">
        <f t="shared" ref="AI30" si="15">SUM(AI10:AI29)</f>
        <v>5979713.625</v>
      </c>
      <c r="AJ30" s="603">
        <f>SUM(AJ10:AJ29)</f>
        <v>99.999999999999986</v>
      </c>
      <c r="AK30" s="455">
        <f>SUM(AK10:AK29)</f>
        <v>1834006102.6684201</v>
      </c>
    </row>
    <row r="31" spans="2:37" x14ac:dyDescent="0.25">
      <c r="B31" s="2"/>
      <c r="C31" s="23"/>
      <c r="D31" s="2"/>
      <c r="E31" s="2"/>
      <c r="F31" s="2"/>
      <c r="G31" s="2"/>
      <c r="H31" s="2"/>
      <c r="I31" s="3"/>
    </row>
    <row r="32" spans="2:37" x14ac:dyDescent="0.25">
      <c r="B32" s="2" t="s">
        <v>320</v>
      </c>
      <c r="C32" s="2"/>
      <c r="D32" s="2"/>
      <c r="E32" s="2"/>
      <c r="F32" s="2"/>
      <c r="G32" s="2"/>
      <c r="H32" s="2"/>
      <c r="I32" s="3"/>
      <c r="U32" s="257"/>
      <c r="V32" s="257"/>
      <c r="W32" s="257"/>
    </row>
    <row r="33" spans="2:2" x14ac:dyDescent="0.25">
      <c r="B33" s="79" t="s">
        <v>321</v>
      </c>
    </row>
    <row r="34" spans="2:2" x14ac:dyDescent="0.25">
      <c r="B34" s="79" t="s">
        <v>322</v>
      </c>
    </row>
  </sheetData>
  <mergeCells count="50">
    <mergeCell ref="V6:V9"/>
    <mergeCell ref="X6:X7"/>
    <mergeCell ref="X8:X9"/>
    <mergeCell ref="AI8:AI9"/>
    <mergeCell ref="AA6:AA9"/>
    <mergeCell ref="AB6:AB7"/>
    <mergeCell ref="AB8:AB9"/>
    <mergeCell ref="AC6:AC9"/>
    <mergeCell ref="AD6:AD7"/>
    <mergeCell ref="AD8:AD9"/>
    <mergeCell ref="Y6:Y9"/>
    <mergeCell ref="Z6:Z7"/>
    <mergeCell ref="Z8:Z9"/>
    <mergeCell ref="B5:B9"/>
    <mergeCell ref="AH5:AI5"/>
    <mergeCell ref="AE5:AF5"/>
    <mergeCell ref="W6:W9"/>
    <mergeCell ref="V5:X5"/>
    <mergeCell ref="Y5:Z5"/>
    <mergeCell ref="AC5:AD5"/>
    <mergeCell ref="AA5:AB5"/>
    <mergeCell ref="AE6:AE9"/>
    <mergeCell ref="AF6:AF7"/>
    <mergeCell ref="AF8:AF9"/>
    <mergeCell ref="AH6:AH9"/>
    <mergeCell ref="AI6:AI7"/>
    <mergeCell ref="K7:K8"/>
    <mergeCell ref="M7:M8"/>
    <mergeCell ref="O7:O9"/>
    <mergeCell ref="E8:F8"/>
    <mergeCell ref="T5:U5"/>
    <mergeCell ref="T6:T9"/>
    <mergeCell ref="U6:U7"/>
    <mergeCell ref="U8:U9"/>
    <mergeCell ref="B1:AK1"/>
    <mergeCell ref="B3:AK3"/>
    <mergeCell ref="AJ5:AK5"/>
    <mergeCell ref="AJ6:AJ9"/>
    <mergeCell ref="AK6:AK7"/>
    <mergeCell ref="AK8:AK9"/>
    <mergeCell ref="AG6:AG7"/>
    <mergeCell ref="AG8:AG9"/>
    <mergeCell ref="B4:U4"/>
    <mergeCell ref="C6:C8"/>
    <mergeCell ref="F6:I6"/>
    <mergeCell ref="J6:M6"/>
    <mergeCell ref="N6:N9"/>
    <mergeCell ref="O6:S6"/>
    <mergeCell ref="E7:F7"/>
    <mergeCell ref="J7:J8"/>
  </mergeCells>
  <pageMargins left="0.28000000000000003" right="0.70866141732283472" top="0.74803149606299213" bottom="0.74803149606299213" header="0.31496062992125984" footer="0.31496062992125984"/>
  <pageSetup paperSize="5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3"/>
  <sheetViews>
    <sheetView zoomScale="74" zoomScaleNormal="74" workbookViewId="0">
      <selection activeCell="C15" sqref="C15:H15"/>
    </sheetView>
  </sheetViews>
  <sheetFormatPr baseColWidth="10" defaultRowHeight="15" x14ac:dyDescent="0.25"/>
  <cols>
    <col min="1" max="1" width="12.140625" customWidth="1"/>
    <col min="2" max="2" width="7.140625" style="26" customWidth="1"/>
    <col min="3" max="3" width="27.85546875" customWidth="1"/>
    <col min="4" max="4" width="16.42578125" customWidth="1"/>
    <col min="5" max="5" width="12.85546875" bestFit="1" customWidth="1"/>
    <col min="6" max="6" width="16" customWidth="1"/>
    <col min="7" max="7" width="13.28515625" customWidth="1"/>
    <col min="8" max="8" width="14.42578125" customWidth="1"/>
    <col min="9" max="9" width="20.85546875" style="1" customWidth="1"/>
    <col min="10" max="10" width="13.42578125" style="1" customWidth="1"/>
    <col min="11" max="11" width="17.85546875" customWidth="1"/>
    <col min="12" max="12" width="18.85546875" bestFit="1" customWidth="1"/>
    <col min="13" max="13" width="15.7109375" bestFit="1" customWidth="1"/>
    <col min="14" max="20" width="12.85546875" bestFit="1" customWidth="1"/>
    <col min="22" max="22" width="13.42578125" bestFit="1" customWidth="1"/>
  </cols>
  <sheetData>
    <row r="2" spans="2:17" x14ac:dyDescent="0.25">
      <c r="C2" s="2"/>
      <c r="D2" s="2"/>
      <c r="E2" s="2"/>
      <c r="F2" s="2"/>
      <c r="G2" s="2"/>
      <c r="H2" s="2"/>
      <c r="K2" s="16" t="s">
        <v>29</v>
      </c>
    </row>
    <row r="3" spans="2:17" x14ac:dyDescent="0.25">
      <c r="C3" s="2"/>
      <c r="D3" s="2"/>
      <c r="E3" s="2"/>
      <c r="F3" s="2"/>
      <c r="G3" s="2"/>
      <c r="H3" s="2"/>
      <c r="I3" s="3"/>
      <c r="J3" s="3"/>
    </row>
    <row r="4" spans="2:17" ht="15.75" thickBot="1" x14ac:dyDescent="0.3">
      <c r="C4" s="714" t="s">
        <v>58</v>
      </c>
      <c r="D4" s="714"/>
      <c r="E4" s="714"/>
      <c r="F4" s="714"/>
      <c r="G4" s="714"/>
      <c r="H4" s="714"/>
      <c r="I4" s="714"/>
      <c r="J4" s="714"/>
      <c r="K4" s="714"/>
    </row>
    <row r="5" spans="2:17" x14ac:dyDescent="0.25">
      <c r="B5" s="681" t="s">
        <v>245</v>
      </c>
      <c r="C5" s="682"/>
      <c r="D5" s="682"/>
      <c r="E5" s="682"/>
      <c r="F5" s="682"/>
      <c r="G5" s="682"/>
      <c r="H5" s="682"/>
      <c r="I5" s="682"/>
      <c r="J5" s="682"/>
      <c r="K5" s="682"/>
      <c r="L5" s="352"/>
    </row>
    <row r="6" spans="2:17" ht="15.75" thickBot="1" x14ac:dyDescent="0.3">
      <c r="B6" s="703" t="s">
        <v>59</v>
      </c>
      <c r="C6" s="704"/>
      <c r="D6" s="704"/>
      <c r="E6" s="704"/>
      <c r="F6" s="704"/>
      <c r="G6" s="704"/>
      <c r="H6" s="705"/>
      <c r="I6" s="114"/>
      <c r="J6" s="122"/>
      <c r="K6" s="323" t="s">
        <v>60</v>
      </c>
      <c r="L6" s="362">
        <v>0.22500000000000001</v>
      </c>
    </row>
    <row r="7" spans="2:17" ht="15.75" thickBot="1" x14ac:dyDescent="0.3">
      <c r="B7" s="112"/>
      <c r="C7" s="108"/>
      <c r="D7" s="109"/>
      <c r="E7" s="109"/>
      <c r="F7" s="110"/>
      <c r="G7" s="111"/>
      <c r="H7" s="107"/>
      <c r="I7" s="106"/>
      <c r="J7" s="123"/>
      <c r="K7" s="326"/>
      <c r="L7" s="353"/>
    </row>
    <row r="8" spans="2:17" ht="15.75" thickBot="1" x14ac:dyDescent="0.3">
      <c r="B8" s="695" t="s">
        <v>68</v>
      </c>
      <c r="C8" s="696"/>
      <c r="D8" s="696"/>
      <c r="E8" s="696"/>
      <c r="F8" s="696"/>
      <c r="G8" s="696"/>
      <c r="H8" s="696"/>
      <c r="I8" s="696"/>
      <c r="J8" s="696"/>
      <c r="K8" s="696"/>
      <c r="L8" s="697"/>
    </row>
    <row r="9" spans="2:17" x14ac:dyDescent="0.25">
      <c r="B9" s="113">
        <v>1</v>
      </c>
      <c r="C9" s="712" t="s">
        <v>250</v>
      </c>
      <c r="D9" s="708"/>
      <c r="E9" s="708"/>
      <c r="F9" s="708"/>
      <c r="G9" s="708"/>
      <c r="H9" s="713"/>
      <c r="I9" s="268"/>
      <c r="J9" s="172"/>
      <c r="K9" s="321">
        <f>'LEY DE INGRESOS'!C6</f>
        <v>5051000000</v>
      </c>
      <c r="L9" s="355"/>
      <c r="M9" s="25"/>
      <c r="N9" s="100"/>
      <c r="O9" s="25"/>
      <c r="P9" s="25"/>
      <c r="Q9" s="25"/>
    </row>
    <row r="10" spans="2:17" x14ac:dyDescent="0.25">
      <c r="B10" s="113">
        <v>2</v>
      </c>
      <c r="C10" s="712" t="s">
        <v>73</v>
      </c>
      <c r="D10" s="708"/>
      <c r="E10" s="708"/>
      <c r="F10" s="708"/>
      <c r="G10" s="708"/>
      <c r="H10" s="713"/>
      <c r="I10" s="725">
        <v>4340124516</v>
      </c>
      <c r="J10" s="726"/>
      <c r="K10" s="726"/>
      <c r="L10" s="356">
        <f>I10*22.5%</f>
        <v>976528016.10000002</v>
      </c>
    </row>
    <row r="11" spans="2:17" x14ac:dyDescent="0.25">
      <c r="B11" s="113">
        <v>3</v>
      </c>
      <c r="C11" s="270" t="s">
        <v>67</v>
      </c>
      <c r="D11" s="269"/>
      <c r="E11" s="269"/>
      <c r="F11" s="269"/>
      <c r="G11" s="269"/>
      <c r="H11" s="271"/>
      <c r="I11" s="272"/>
      <c r="J11" s="273"/>
      <c r="K11" s="322">
        <f>K9-I10</f>
        <v>710875484</v>
      </c>
      <c r="L11" s="356">
        <f>I13-L10</f>
        <v>0</v>
      </c>
    </row>
    <row r="12" spans="2:17" x14ac:dyDescent="0.25">
      <c r="B12" s="113">
        <v>3</v>
      </c>
      <c r="C12" s="712" t="s">
        <v>71</v>
      </c>
      <c r="D12" s="708"/>
      <c r="E12" s="708"/>
      <c r="F12" s="708"/>
      <c r="G12" s="708"/>
      <c r="H12" s="713"/>
      <c r="I12" s="725">
        <f>K11*22.5%</f>
        <v>159946983.90000001</v>
      </c>
      <c r="J12" s="726"/>
      <c r="K12" s="726"/>
      <c r="L12" s="356">
        <f>I12</f>
        <v>159946983.90000001</v>
      </c>
    </row>
    <row r="13" spans="2:17" x14ac:dyDescent="0.25">
      <c r="B13" s="113">
        <v>4</v>
      </c>
      <c r="C13" s="712" t="s">
        <v>74</v>
      </c>
      <c r="D13" s="708"/>
      <c r="E13" s="708"/>
      <c r="F13" s="708"/>
      <c r="G13" s="708"/>
      <c r="H13" s="713"/>
      <c r="I13" s="725">
        <f>I10*22.5%</f>
        <v>976528016.10000002</v>
      </c>
      <c r="J13" s="726"/>
      <c r="K13" s="726"/>
      <c r="L13" s="354"/>
    </row>
    <row r="14" spans="2:17" ht="15.75" thickBot="1" x14ac:dyDescent="0.3">
      <c r="B14" s="113">
        <v>5</v>
      </c>
      <c r="C14" s="712" t="s">
        <v>249</v>
      </c>
      <c r="D14" s="708"/>
      <c r="E14" s="708"/>
      <c r="F14" s="708"/>
      <c r="G14" s="708"/>
      <c r="H14" s="713"/>
      <c r="I14" s="727"/>
      <c r="J14" s="724"/>
      <c r="K14" s="724"/>
      <c r="L14" s="354"/>
    </row>
    <row r="15" spans="2:17" x14ac:dyDescent="0.25">
      <c r="B15" s="363"/>
      <c r="C15" s="719" t="s">
        <v>246</v>
      </c>
      <c r="D15" s="720"/>
      <c r="E15" s="720"/>
      <c r="F15" s="720"/>
      <c r="G15" s="720"/>
      <c r="H15" s="720"/>
      <c r="I15" s="728">
        <f>I12*60%</f>
        <v>95968190.340000004</v>
      </c>
      <c r="J15" s="728"/>
      <c r="K15" s="729"/>
      <c r="L15" s="365"/>
    </row>
    <row r="16" spans="2:17" x14ac:dyDescent="0.25">
      <c r="B16" s="363"/>
      <c r="C16" s="721" t="s">
        <v>247</v>
      </c>
      <c r="D16" s="706"/>
      <c r="E16" s="706"/>
      <c r="F16" s="706"/>
      <c r="G16" s="706"/>
      <c r="H16" s="706"/>
      <c r="I16" s="730">
        <f>I12*30%</f>
        <v>47984095.170000002</v>
      </c>
      <c r="J16" s="730"/>
      <c r="K16" s="731"/>
      <c r="L16" s="365"/>
    </row>
    <row r="17" spans="2:12" x14ac:dyDescent="0.25">
      <c r="B17" s="363"/>
      <c r="C17" s="721" t="s">
        <v>248</v>
      </c>
      <c r="D17" s="706"/>
      <c r="E17" s="706"/>
      <c r="F17" s="706"/>
      <c r="G17" s="706"/>
      <c r="H17" s="706"/>
      <c r="I17" s="730">
        <f>I12*10%</f>
        <v>15994698.390000001</v>
      </c>
      <c r="J17" s="730"/>
      <c r="K17" s="731"/>
      <c r="L17" s="365"/>
    </row>
    <row r="18" spans="2:12" x14ac:dyDescent="0.25">
      <c r="B18" s="363"/>
      <c r="C18" s="721" t="s">
        <v>75</v>
      </c>
      <c r="D18" s="706"/>
      <c r="E18" s="706"/>
      <c r="F18" s="706"/>
      <c r="G18" s="706"/>
      <c r="H18" s="706"/>
      <c r="I18" s="367">
        <f>SUM(I15:I17)</f>
        <v>159946983.89999998</v>
      </c>
      <c r="J18" s="367"/>
      <c r="K18" s="368">
        <f>SUM(I18)</f>
        <v>159946983.89999998</v>
      </c>
      <c r="L18" s="365"/>
    </row>
    <row r="19" spans="2:12" ht="15.75" thickBot="1" x14ac:dyDescent="0.3">
      <c r="B19" s="364">
        <v>6</v>
      </c>
      <c r="C19" s="722" t="s">
        <v>72</v>
      </c>
      <c r="D19" s="709"/>
      <c r="E19" s="709"/>
      <c r="F19" s="709"/>
      <c r="G19" s="709"/>
      <c r="H19" s="709"/>
      <c r="I19" s="710">
        <f>I12+I13</f>
        <v>1136475000</v>
      </c>
      <c r="J19" s="710"/>
      <c r="K19" s="711"/>
      <c r="L19" s="366"/>
    </row>
    <row r="20" spans="2:12" ht="11.25" customHeight="1" thickBot="1" x14ac:dyDescent="0.3">
      <c r="B20" s="28"/>
      <c r="C20" s="708"/>
      <c r="D20" s="708"/>
      <c r="E20" s="708"/>
      <c r="F20" s="708"/>
      <c r="G20" s="708"/>
      <c r="H20" s="708"/>
      <c r="I20" s="723"/>
      <c r="J20" s="724"/>
      <c r="K20" s="724"/>
      <c r="L20" s="354"/>
    </row>
    <row r="21" spans="2:12" x14ac:dyDescent="0.25">
      <c r="B21" s="733" t="s">
        <v>69</v>
      </c>
      <c r="C21" s="734"/>
      <c r="D21" s="734"/>
      <c r="E21" s="734"/>
      <c r="F21" s="734"/>
      <c r="G21" s="734"/>
      <c r="H21" s="734"/>
      <c r="I21" s="734"/>
      <c r="J21" s="734"/>
      <c r="K21" s="734"/>
      <c r="L21" s="735"/>
    </row>
    <row r="22" spans="2:12" x14ac:dyDescent="0.25">
      <c r="B22" s="404">
        <v>7</v>
      </c>
      <c r="C22" s="708" t="s">
        <v>251</v>
      </c>
      <c r="D22" s="708"/>
      <c r="E22" s="708"/>
      <c r="F22" s="708"/>
      <c r="G22" s="708"/>
      <c r="H22" s="708"/>
      <c r="I22" s="359"/>
      <c r="J22" s="360"/>
      <c r="K22" s="361">
        <f>'LEY DE INGRESOS'!C7</f>
        <v>466000000</v>
      </c>
      <c r="L22" s="354"/>
    </row>
    <row r="23" spans="2:12" x14ac:dyDescent="0.25">
      <c r="B23" s="404">
        <v>8</v>
      </c>
      <c r="C23" s="708" t="s">
        <v>76</v>
      </c>
      <c r="D23" s="708"/>
      <c r="E23" s="708"/>
      <c r="F23" s="708"/>
      <c r="G23" s="708"/>
      <c r="H23" s="708"/>
      <c r="I23" s="359"/>
      <c r="J23" s="360"/>
      <c r="K23" s="361">
        <v>432473544</v>
      </c>
      <c r="L23" s="354"/>
    </row>
    <row r="24" spans="2:12" x14ac:dyDescent="0.25">
      <c r="B24" s="404">
        <v>9</v>
      </c>
      <c r="C24" s="358" t="s">
        <v>252</v>
      </c>
      <c r="D24" s="358"/>
      <c r="E24" s="358"/>
      <c r="F24" s="358"/>
      <c r="G24" s="358"/>
      <c r="H24" s="358"/>
      <c r="I24" s="359"/>
      <c r="J24" s="360"/>
      <c r="K24" s="361">
        <f>K22-K23</f>
        <v>33526456</v>
      </c>
      <c r="L24" s="354"/>
    </row>
    <row r="25" spans="2:12" x14ac:dyDescent="0.25">
      <c r="B25" s="404">
        <v>10</v>
      </c>
      <c r="C25" s="708" t="s">
        <v>70</v>
      </c>
      <c r="D25" s="708"/>
      <c r="E25" s="708"/>
      <c r="F25" s="708"/>
      <c r="G25" s="708"/>
      <c r="H25" s="708"/>
      <c r="I25" s="359"/>
      <c r="J25" s="360"/>
      <c r="K25" s="361">
        <f>K24</f>
        <v>33526456</v>
      </c>
      <c r="L25" s="354"/>
    </row>
    <row r="26" spans="2:12" x14ac:dyDescent="0.25">
      <c r="B26" s="363"/>
      <c r="C26" s="706" t="s">
        <v>253</v>
      </c>
      <c r="D26" s="706"/>
      <c r="E26" s="706"/>
      <c r="F26" s="706"/>
      <c r="G26" s="706"/>
      <c r="H26" s="706"/>
      <c r="I26" s="403"/>
      <c r="J26" s="403"/>
      <c r="K26" s="367">
        <f>K25*70%</f>
        <v>23468519.199999999</v>
      </c>
      <c r="L26" s="365"/>
    </row>
    <row r="27" spans="2:12" x14ac:dyDescent="0.25">
      <c r="B27" s="363"/>
      <c r="C27" s="707">
        <v>0.5</v>
      </c>
      <c r="D27" s="706"/>
      <c r="E27" s="706"/>
      <c r="F27" s="706"/>
      <c r="G27" s="706"/>
      <c r="H27" s="706"/>
      <c r="I27" s="403"/>
      <c r="J27" s="403"/>
      <c r="K27" s="367">
        <f>K26*0.5</f>
        <v>11734259.6</v>
      </c>
      <c r="L27" s="365"/>
    </row>
    <row r="28" spans="2:12" x14ac:dyDescent="0.25">
      <c r="B28" s="363"/>
      <c r="C28" s="707">
        <v>0.5</v>
      </c>
      <c r="D28" s="706"/>
      <c r="E28" s="706"/>
      <c r="F28" s="706"/>
      <c r="G28" s="706"/>
      <c r="H28" s="706"/>
      <c r="I28" s="403"/>
      <c r="J28" s="403"/>
      <c r="K28" s="367">
        <f>K26*0.5</f>
        <v>11734259.6</v>
      </c>
      <c r="L28" s="365"/>
    </row>
    <row r="29" spans="2:12" x14ac:dyDescent="0.25">
      <c r="B29" s="363"/>
      <c r="C29" s="706" t="s">
        <v>254</v>
      </c>
      <c r="D29" s="706"/>
      <c r="E29" s="706"/>
      <c r="F29" s="706"/>
      <c r="G29" s="706"/>
      <c r="H29" s="706"/>
      <c r="I29" s="403"/>
      <c r="J29" s="403"/>
      <c r="K29" s="367">
        <f>K25*0.3</f>
        <v>10057936.799999999</v>
      </c>
      <c r="L29" s="365"/>
    </row>
    <row r="30" spans="2:12" ht="15.75" thickBot="1" x14ac:dyDescent="0.3">
      <c r="B30" s="364">
        <v>8</v>
      </c>
      <c r="C30" s="709" t="s">
        <v>284</v>
      </c>
      <c r="D30" s="709"/>
      <c r="E30" s="709"/>
      <c r="F30" s="709"/>
      <c r="G30" s="709"/>
      <c r="H30" s="709"/>
      <c r="I30" s="405"/>
      <c r="J30" s="405"/>
      <c r="K30" s="369">
        <f>K23+K24</f>
        <v>466000000</v>
      </c>
      <c r="L30" s="406"/>
    </row>
    <row r="31" spans="2:12" x14ac:dyDescent="0.25">
      <c r="B31" s="28"/>
      <c r="C31" s="55"/>
      <c r="D31" s="72"/>
      <c r="E31" s="72"/>
      <c r="F31" s="72"/>
      <c r="G31" s="72"/>
      <c r="H31" s="275"/>
      <c r="I31" s="274"/>
      <c r="J31" s="273"/>
      <c r="K31" s="320"/>
      <c r="L31" s="354"/>
    </row>
    <row r="32" spans="2:12" x14ac:dyDescent="0.25">
      <c r="B32" s="28"/>
      <c r="C32" s="736" t="s">
        <v>134</v>
      </c>
      <c r="D32" s="737"/>
      <c r="E32" s="737"/>
      <c r="F32" s="737"/>
      <c r="G32" s="737"/>
      <c r="H32" s="738"/>
      <c r="I32" s="274"/>
      <c r="J32" s="273"/>
      <c r="K32" s="320"/>
      <c r="L32" s="354"/>
    </row>
    <row r="33" spans="2:14" x14ac:dyDescent="0.25">
      <c r="B33" s="28">
        <v>9</v>
      </c>
      <c r="C33" s="708" t="s">
        <v>255</v>
      </c>
      <c r="D33" s="708"/>
      <c r="E33" s="708"/>
      <c r="F33" s="708"/>
      <c r="G33" s="708"/>
      <c r="H33" s="708"/>
      <c r="I33" s="274"/>
      <c r="J33" s="273"/>
      <c r="K33" s="321">
        <f>'LEY DE INGRESOS'!C10</f>
        <v>285000000</v>
      </c>
      <c r="L33" s="356">
        <f>K33*22.5%</f>
        <v>64125000</v>
      </c>
    </row>
    <row r="34" spans="2:14" x14ac:dyDescent="0.25">
      <c r="B34" s="28">
        <v>10</v>
      </c>
      <c r="C34" s="708" t="s">
        <v>135</v>
      </c>
      <c r="D34" s="708"/>
      <c r="E34" s="708"/>
      <c r="F34" s="708"/>
      <c r="G34" s="708"/>
      <c r="H34" s="708"/>
      <c r="I34" s="274"/>
      <c r="J34" s="273"/>
      <c r="K34" s="322">
        <v>195909000</v>
      </c>
      <c r="L34" s="356">
        <f>K34*0.225</f>
        <v>44079525</v>
      </c>
    </row>
    <row r="35" spans="2:14" x14ac:dyDescent="0.25">
      <c r="B35" s="28">
        <v>11</v>
      </c>
      <c r="C35" s="269" t="s">
        <v>256</v>
      </c>
      <c r="D35" s="269"/>
      <c r="E35" s="269"/>
      <c r="F35" s="269"/>
      <c r="G35" s="269"/>
      <c r="H35" s="269"/>
      <c r="I35" s="274"/>
      <c r="J35" s="273"/>
      <c r="K35" s="327">
        <f>K33-K34</f>
        <v>89091000</v>
      </c>
      <c r="L35" s="356">
        <f>K35*22.5%</f>
        <v>20045475</v>
      </c>
    </row>
    <row r="36" spans="2:14" x14ac:dyDescent="0.25">
      <c r="B36" s="28"/>
      <c r="C36" s="55"/>
      <c r="D36" s="72"/>
      <c r="E36" s="72"/>
      <c r="F36" s="72"/>
      <c r="G36" s="72"/>
      <c r="H36" s="275"/>
      <c r="I36" s="274"/>
      <c r="J36" s="273"/>
      <c r="K36" s="320"/>
      <c r="L36" s="354"/>
    </row>
    <row r="37" spans="2:14" x14ac:dyDescent="0.25">
      <c r="B37" s="28"/>
      <c r="C37" s="736" t="s">
        <v>136</v>
      </c>
      <c r="D37" s="737"/>
      <c r="E37" s="737"/>
      <c r="F37" s="737"/>
      <c r="G37" s="737"/>
      <c r="H37" s="738"/>
      <c r="I37" s="723"/>
      <c r="J37" s="724"/>
      <c r="K37" s="724"/>
      <c r="L37" s="354"/>
    </row>
    <row r="38" spans="2:14" x14ac:dyDescent="0.25">
      <c r="B38" s="28">
        <v>12</v>
      </c>
      <c r="C38" s="708" t="s">
        <v>257</v>
      </c>
      <c r="D38" s="708"/>
      <c r="E38" s="708"/>
      <c r="F38" s="708"/>
      <c r="G38" s="708"/>
      <c r="H38" s="708"/>
      <c r="I38" s="739">
        <f>'LEY DE INGRESOS'!C11</f>
        <v>411000000</v>
      </c>
      <c r="J38" s="740"/>
      <c r="K38" s="741"/>
      <c r="L38" s="356">
        <f>I38*22.5%</f>
        <v>92475000</v>
      </c>
    </row>
    <row r="39" spans="2:14" x14ac:dyDescent="0.25">
      <c r="B39" s="28">
        <v>13</v>
      </c>
      <c r="C39" s="708" t="s">
        <v>135</v>
      </c>
      <c r="D39" s="708"/>
      <c r="E39" s="708"/>
      <c r="F39" s="708"/>
      <c r="G39" s="708"/>
      <c r="H39" s="708"/>
      <c r="I39" s="274"/>
      <c r="J39" s="273"/>
      <c r="K39" s="322">
        <v>337311000</v>
      </c>
      <c r="L39" s="356">
        <f>K39*22.5%</f>
        <v>75894975</v>
      </c>
      <c r="M39" s="82"/>
      <c r="N39" s="82"/>
    </row>
    <row r="40" spans="2:14" x14ac:dyDescent="0.25">
      <c r="B40" s="28">
        <v>14</v>
      </c>
      <c r="C40" s="269" t="s">
        <v>258</v>
      </c>
      <c r="D40" s="269"/>
      <c r="E40" s="269"/>
      <c r="F40" s="269"/>
      <c r="G40" s="269"/>
      <c r="H40" s="269"/>
      <c r="I40" s="274"/>
      <c r="J40" s="273"/>
      <c r="K40" s="327">
        <f>I38-K39</f>
        <v>73689000</v>
      </c>
      <c r="L40" s="356">
        <f>K40*22.5%</f>
        <v>16580025</v>
      </c>
      <c r="M40" s="82"/>
      <c r="N40" s="82"/>
    </row>
    <row r="41" spans="2:14" x14ac:dyDescent="0.25">
      <c r="B41" s="28"/>
      <c r="C41" s="269"/>
      <c r="D41" s="269"/>
      <c r="E41" s="269"/>
      <c r="F41" s="269"/>
      <c r="G41" s="269"/>
      <c r="H41" s="269"/>
      <c r="I41" s="274"/>
      <c r="J41" s="273"/>
      <c r="K41" s="320"/>
      <c r="L41" s="356"/>
      <c r="M41" s="82"/>
      <c r="N41" s="82"/>
    </row>
    <row r="42" spans="2:14" x14ac:dyDescent="0.25">
      <c r="B42" s="28"/>
      <c r="C42" s="736" t="s">
        <v>143</v>
      </c>
      <c r="D42" s="737"/>
      <c r="E42" s="737"/>
      <c r="F42" s="737"/>
      <c r="G42" s="737"/>
      <c r="H42" s="738"/>
      <c r="I42" s="723"/>
      <c r="J42" s="724"/>
      <c r="K42" s="724"/>
      <c r="L42" s="354"/>
      <c r="N42" s="82"/>
    </row>
    <row r="43" spans="2:14" x14ac:dyDescent="0.25">
      <c r="B43" s="28">
        <v>15</v>
      </c>
      <c r="C43" s="708" t="s">
        <v>259</v>
      </c>
      <c r="D43" s="708"/>
      <c r="E43" s="708"/>
      <c r="F43" s="708"/>
      <c r="G43" s="708"/>
      <c r="H43" s="708"/>
      <c r="I43" s="732"/>
      <c r="J43" s="726"/>
      <c r="K43" s="724"/>
      <c r="L43" s="354"/>
    </row>
    <row r="44" spans="2:14" x14ac:dyDescent="0.25">
      <c r="B44" s="28">
        <v>16</v>
      </c>
      <c r="C44" s="708" t="s">
        <v>144</v>
      </c>
      <c r="D44" s="708"/>
      <c r="E44" s="708"/>
      <c r="F44" s="708"/>
      <c r="G44" s="708"/>
      <c r="H44" s="708"/>
      <c r="I44" s="274"/>
      <c r="J44" s="273"/>
      <c r="K44" s="322">
        <v>0</v>
      </c>
      <c r="L44" s="354"/>
    </row>
    <row r="45" spans="2:14" x14ac:dyDescent="0.25">
      <c r="B45" s="28">
        <v>17</v>
      </c>
      <c r="C45" s="269" t="s">
        <v>145</v>
      </c>
      <c r="D45" s="269"/>
      <c r="E45" s="269"/>
      <c r="F45" s="269"/>
      <c r="G45" s="269"/>
      <c r="H45" s="269"/>
      <c r="I45" s="274"/>
      <c r="J45" s="273"/>
      <c r="K45" s="327">
        <f>I43-K44</f>
        <v>0</v>
      </c>
      <c r="L45" s="354"/>
    </row>
    <row r="46" spans="2:14" x14ac:dyDescent="0.25">
      <c r="B46" s="28"/>
      <c r="C46" s="269"/>
      <c r="D46" s="269"/>
      <c r="E46" s="269"/>
      <c r="F46" s="269"/>
      <c r="G46" s="269"/>
      <c r="H46" s="269"/>
      <c r="I46" s="274"/>
      <c r="J46" s="273"/>
      <c r="K46" s="320"/>
      <c r="L46" s="354"/>
    </row>
    <row r="47" spans="2:14" x14ac:dyDescent="0.25">
      <c r="B47" s="28"/>
      <c r="C47" s="736" t="s">
        <v>181</v>
      </c>
      <c r="D47" s="737"/>
      <c r="E47" s="737"/>
      <c r="F47" s="737"/>
      <c r="G47" s="737"/>
      <c r="H47" s="738"/>
      <c r="I47" s="274"/>
      <c r="J47" s="273"/>
      <c r="K47" s="320"/>
      <c r="L47" s="354"/>
    </row>
    <row r="48" spans="2:14" x14ac:dyDescent="0.25">
      <c r="B48" s="28">
        <v>18</v>
      </c>
      <c r="C48" s="708" t="s">
        <v>260</v>
      </c>
      <c r="D48" s="708"/>
      <c r="E48" s="708"/>
      <c r="F48" s="708"/>
      <c r="G48" s="708"/>
      <c r="H48" s="708"/>
      <c r="I48" s="274"/>
      <c r="J48" s="273"/>
      <c r="K48" s="321">
        <f>'LEY DE INGRESOS'!C8</f>
        <v>92000000</v>
      </c>
      <c r="L48" s="356">
        <f>K48*0.225</f>
        <v>20700000</v>
      </c>
    </row>
    <row r="49" spans="2:12" x14ac:dyDescent="0.25">
      <c r="B49" s="28">
        <v>19</v>
      </c>
      <c r="C49" s="708" t="s">
        <v>137</v>
      </c>
      <c r="D49" s="708"/>
      <c r="E49" s="708"/>
      <c r="F49" s="708"/>
      <c r="G49" s="708"/>
      <c r="H49" s="708"/>
      <c r="I49" s="274"/>
      <c r="J49" s="273"/>
      <c r="K49" s="322">
        <v>91600000</v>
      </c>
      <c r="L49" s="356">
        <f>K49*0.225</f>
        <v>20610000</v>
      </c>
    </row>
    <row r="50" spans="2:12" x14ac:dyDescent="0.25">
      <c r="B50" s="28">
        <v>20</v>
      </c>
      <c r="C50" s="269" t="s">
        <v>261</v>
      </c>
      <c r="D50" s="269"/>
      <c r="E50" s="269"/>
      <c r="F50" s="269"/>
      <c r="G50" s="269"/>
      <c r="H50" s="269"/>
      <c r="I50" s="274"/>
      <c r="J50" s="273"/>
      <c r="K50" s="327">
        <f>K48-K49</f>
        <v>400000</v>
      </c>
      <c r="L50" s="356">
        <f>K50*0.225</f>
        <v>90000</v>
      </c>
    </row>
    <row r="51" spans="2:12" x14ac:dyDescent="0.25">
      <c r="B51" s="28"/>
      <c r="C51" s="55"/>
      <c r="D51" s="72"/>
      <c r="E51" s="72"/>
      <c r="F51" s="72"/>
      <c r="G51" s="72"/>
      <c r="H51" s="275"/>
      <c r="I51" s="274"/>
      <c r="J51" s="273"/>
      <c r="K51" s="320"/>
      <c r="L51" s="356"/>
    </row>
    <row r="52" spans="2:12" x14ac:dyDescent="0.25">
      <c r="B52" s="134"/>
      <c r="C52" s="736" t="s">
        <v>140</v>
      </c>
      <c r="D52" s="737"/>
      <c r="E52" s="737"/>
      <c r="F52" s="737"/>
      <c r="G52" s="737"/>
      <c r="H52" s="738"/>
      <c r="I52" s="274"/>
      <c r="J52" s="273"/>
      <c r="K52" s="320"/>
      <c r="L52" s="354"/>
    </row>
    <row r="53" spans="2:12" x14ac:dyDescent="0.25">
      <c r="B53" s="134">
        <v>21</v>
      </c>
      <c r="C53" s="708" t="s">
        <v>262</v>
      </c>
      <c r="D53" s="708"/>
      <c r="E53" s="708"/>
      <c r="F53" s="708"/>
      <c r="G53" s="708"/>
      <c r="H53" s="708"/>
      <c r="I53" s="274"/>
      <c r="J53" s="273"/>
      <c r="K53" s="321">
        <f>'LEY DE INGRESOS'!C9</f>
        <v>214058740</v>
      </c>
      <c r="L53" s="356">
        <f>K53*0.225</f>
        <v>48163216.5</v>
      </c>
    </row>
    <row r="54" spans="2:12" x14ac:dyDescent="0.25">
      <c r="B54" s="134">
        <v>22</v>
      </c>
      <c r="C54" s="708" t="s">
        <v>137</v>
      </c>
      <c r="D54" s="708"/>
      <c r="E54" s="708"/>
      <c r="F54" s="708"/>
      <c r="G54" s="708"/>
      <c r="H54" s="708"/>
      <c r="I54" s="274"/>
      <c r="J54" s="273"/>
      <c r="K54" s="322">
        <v>172770000</v>
      </c>
      <c r="L54" s="356">
        <f>K54*0.225</f>
        <v>38873250</v>
      </c>
    </row>
    <row r="55" spans="2:12" x14ac:dyDescent="0.25">
      <c r="B55" s="134">
        <v>23</v>
      </c>
      <c r="C55" s="269" t="s">
        <v>263</v>
      </c>
      <c r="D55" s="269"/>
      <c r="E55" s="269"/>
      <c r="F55" s="269"/>
      <c r="G55" s="269"/>
      <c r="H55" s="269"/>
      <c r="I55" s="274"/>
      <c r="J55" s="273"/>
      <c r="K55" s="327">
        <f>K53-K54</f>
        <v>41288740</v>
      </c>
      <c r="L55" s="356">
        <f>K55*0.225</f>
        <v>9289966.5</v>
      </c>
    </row>
    <row r="56" spans="2:12" x14ac:dyDescent="0.25">
      <c r="B56" s="134"/>
      <c r="C56" s="269"/>
      <c r="D56" s="269"/>
      <c r="E56" s="269"/>
      <c r="F56" s="269"/>
      <c r="G56" s="269"/>
      <c r="H56" s="269"/>
      <c r="I56" s="274"/>
      <c r="J56" s="273"/>
      <c r="K56" s="320"/>
      <c r="L56" s="354"/>
    </row>
    <row r="57" spans="2:12" x14ac:dyDescent="0.25">
      <c r="B57" s="28"/>
      <c r="C57" s="736" t="s">
        <v>141</v>
      </c>
      <c r="D57" s="737"/>
      <c r="E57" s="737"/>
      <c r="F57" s="737"/>
      <c r="G57" s="737"/>
      <c r="H57" s="738"/>
      <c r="I57" s="274"/>
      <c r="J57" s="273"/>
      <c r="K57" s="320"/>
      <c r="L57" s="356"/>
    </row>
    <row r="58" spans="2:12" s="54" customFormat="1" x14ac:dyDescent="0.25">
      <c r="B58" s="351">
        <v>24</v>
      </c>
      <c r="C58" s="708" t="s">
        <v>264</v>
      </c>
      <c r="D58" s="708"/>
      <c r="E58" s="708"/>
      <c r="F58" s="708"/>
      <c r="G58" s="708"/>
      <c r="H58" s="708"/>
      <c r="I58" s="347"/>
      <c r="J58" s="348"/>
      <c r="K58" s="349">
        <f>'LEY DE INGRESOS'!C13</f>
        <v>26576505</v>
      </c>
      <c r="L58" s="356">
        <f>K58*0.225</f>
        <v>5979713.625</v>
      </c>
    </row>
    <row r="59" spans="2:12" x14ac:dyDescent="0.25">
      <c r="B59" s="28">
        <v>25</v>
      </c>
      <c r="C59" s="708" t="s">
        <v>142</v>
      </c>
      <c r="D59" s="708"/>
      <c r="E59" s="708"/>
      <c r="F59" s="708"/>
      <c r="G59" s="708"/>
      <c r="H59" s="708"/>
      <c r="I59" s="274"/>
      <c r="J59" s="273"/>
      <c r="K59" s="322">
        <v>25000000</v>
      </c>
      <c r="L59" s="356">
        <f>K59*0.225</f>
        <v>5625000</v>
      </c>
    </row>
    <row r="60" spans="2:12" x14ac:dyDescent="0.25">
      <c r="B60" s="28">
        <v>26</v>
      </c>
      <c r="C60" s="269" t="s">
        <v>265</v>
      </c>
      <c r="D60" s="269"/>
      <c r="E60" s="269"/>
      <c r="F60" s="269"/>
      <c r="G60" s="269"/>
      <c r="H60" s="269"/>
      <c r="I60" s="274"/>
      <c r="J60" s="273"/>
      <c r="K60" s="322">
        <f>K58-K59</f>
        <v>1576505</v>
      </c>
      <c r="L60" s="356">
        <f>K60*0.225</f>
        <v>354713.625</v>
      </c>
    </row>
    <row r="61" spans="2:12" x14ac:dyDescent="0.25">
      <c r="B61" s="28"/>
      <c r="C61" s="276"/>
      <c r="D61" s="269"/>
      <c r="E61" s="269"/>
      <c r="F61" s="269"/>
      <c r="G61" s="269"/>
      <c r="H61" s="277"/>
      <c r="I61" s="274"/>
      <c r="J61" s="273"/>
      <c r="K61" s="320"/>
      <c r="L61" s="356"/>
    </row>
    <row r="62" spans="2:12" x14ac:dyDescent="0.25">
      <c r="B62" s="28"/>
      <c r="C62" s="276"/>
      <c r="D62" s="358"/>
      <c r="E62" s="358"/>
      <c r="F62" s="358"/>
      <c r="G62" s="358"/>
      <c r="H62" s="277"/>
      <c r="I62" s="359"/>
      <c r="J62" s="360"/>
      <c r="K62" s="360"/>
      <c r="L62" s="356"/>
    </row>
    <row r="63" spans="2:12" x14ac:dyDescent="0.25">
      <c r="B63" s="28"/>
      <c r="C63" s="736" t="s">
        <v>141</v>
      </c>
      <c r="D63" s="737"/>
      <c r="E63" s="737"/>
      <c r="F63" s="737"/>
      <c r="G63" s="737"/>
      <c r="H63" s="738"/>
      <c r="I63" s="359"/>
      <c r="J63" s="360"/>
      <c r="K63" s="360"/>
      <c r="L63" s="356"/>
    </row>
    <row r="64" spans="2:12" x14ac:dyDescent="0.25">
      <c r="B64" s="28"/>
      <c r="C64" s="708" t="s">
        <v>264</v>
      </c>
      <c r="D64" s="708"/>
      <c r="E64" s="708"/>
      <c r="F64" s="708"/>
      <c r="G64" s="708"/>
      <c r="H64" s="708"/>
      <c r="I64" s="359"/>
      <c r="J64" s="360"/>
      <c r="K64" s="361">
        <f>'LEY DE INGRESOS'!B14</f>
        <v>17360457</v>
      </c>
      <c r="L64" s="356"/>
    </row>
    <row r="65" spans="2:22" x14ac:dyDescent="0.25">
      <c r="B65" s="28"/>
      <c r="C65" s="708" t="s">
        <v>142</v>
      </c>
      <c r="D65" s="708"/>
      <c r="E65" s="708"/>
      <c r="F65" s="708"/>
      <c r="G65" s="708"/>
      <c r="H65" s="708"/>
      <c r="I65" s="359"/>
      <c r="J65" s="360"/>
      <c r="K65" s="361">
        <f>25000000-8967760</f>
        <v>16032240</v>
      </c>
      <c r="L65" s="356"/>
    </row>
    <row r="66" spans="2:22" x14ac:dyDescent="0.25">
      <c r="B66" s="28"/>
      <c r="C66" s="358" t="s">
        <v>265</v>
      </c>
      <c r="D66" s="358"/>
      <c r="E66" s="358"/>
      <c r="F66" s="358"/>
      <c r="G66" s="358"/>
      <c r="H66" s="358"/>
      <c r="I66" s="359"/>
      <c r="J66" s="360"/>
      <c r="K66" s="361">
        <f>K64-K65</f>
        <v>1328217</v>
      </c>
      <c r="L66" s="356"/>
    </row>
    <row r="67" spans="2:22" x14ac:dyDescent="0.25">
      <c r="B67" s="28"/>
      <c r="C67" s="276"/>
      <c r="D67" s="358"/>
      <c r="E67" s="358"/>
      <c r="F67" s="358"/>
      <c r="G67" s="358"/>
      <c r="H67" s="277"/>
      <c r="I67" s="359"/>
      <c r="J67" s="360"/>
      <c r="K67" s="360"/>
      <c r="L67" s="356"/>
    </row>
    <row r="68" spans="2:22" x14ac:dyDescent="0.25">
      <c r="B68" s="28"/>
      <c r="C68" s="276"/>
      <c r="D68" s="358"/>
      <c r="E68" s="358"/>
      <c r="F68" s="358"/>
      <c r="G68" s="358"/>
      <c r="H68" s="277"/>
      <c r="I68" s="359"/>
      <c r="J68" s="360"/>
      <c r="K68" s="360"/>
      <c r="L68" s="356"/>
    </row>
    <row r="69" spans="2:22" x14ac:dyDescent="0.25">
      <c r="B69" s="28"/>
      <c r="C69" s="736" t="s">
        <v>138</v>
      </c>
      <c r="D69" s="737"/>
      <c r="E69" s="737"/>
      <c r="F69" s="737"/>
      <c r="G69" s="737"/>
      <c r="H69" s="738"/>
      <c r="I69" s="274"/>
      <c r="J69" s="273"/>
      <c r="K69" s="361">
        <f>'LEY DE INGRESOS'!B15</f>
        <v>9216048</v>
      </c>
      <c r="L69" s="356"/>
    </row>
    <row r="70" spans="2:22" x14ac:dyDescent="0.25">
      <c r="B70" s="28">
        <v>27</v>
      </c>
      <c r="C70" s="708" t="s">
        <v>266</v>
      </c>
      <c r="D70" s="708"/>
      <c r="E70" s="708"/>
      <c r="F70" s="708"/>
      <c r="G70" s="708"/>
      <c r="H70" s="708"/>
      <c r="I70" s="274"/>
      <c r="J70" s="273"/>
      <c r="K70" s="361">
        <f>'LEY DE INGRESOS'!B15</f>
        <v>9216048</v>
      </c>
      <c r="L70" s="356"/>
    </row>
    <row r="71" spans="2:22" x14ac:dyDescent="0.25">
      <c r="B71" s="28">
        <v>28</v>
      </c>
      <c r="C71" s="708" t="s">
        <v>139</v>
      </c>
      <c r="D71" s="708"/>
      <c r="E71" s="708"/>
      <c r="F71" s="708"/>
      <c r="G71" s="708"/>
      <c r="H71" s="708"/>
      <c r="I71" s="274"/>
      <c r="J71" s="273"/>
      <c r="K71" s="320"/>
      <c r="L71" s="354"/>
    </row>
    <row r="72" spans="2:22" x14ac:dyDescent="0.25">
      <c r="B72" s="28">
        <v>29</v>
      </c>
      <c r="C72" s="269" t="s">
        <v>267</v>
      </c>
      <c r="D72" s="269"/>
      <c r="E72" s="269"/>
      <c r="F72" s="269"/>
      <c r="G72" s="269"/>
      <c r="H72" s="269"/>
      <c r="I72" s="274"/>
      <c r="J72" s="273"/>
      <c r="K72" s="320"/>
      <c r="L72" s="354"/>
    </row>
    <row r="73" spans="2:22" x14ac:dyDescent="0.25">
      <c r="B73" s="28"/>
      <c r="C73" s="55"/>
      <c r="D73" s="72"/>
      <c r="E73" s="72"/>
      <c r="F73" s="72"/>
      <c r="G73" s="72"/>
      <c r="H73" s="275"/>
      <c r="I73" s="274"/>
      <c r="J73" s="273"/>
      <c r="K73" s="320"/>
      <c r="L73" s="354"/>
    </row>
    <row r="74" spans="2:22" ht="15.75" thickBot="1" x14ac:dyDescent="0.3">
      <c r="B74" s="27"/>
      <c r="C74" s="698" t="s">
        <v>25</v>
      </c>
      <c r="D74" s="699"/>
      <c r="E74" s="699"/>
      <c r="F74" s="699"/>
      <c r="G74" s="699"/>
      <c r="H74" s="700"/>
      <c r="I74" s="701"/>
      <c r="J74" s="702"/>
      <c r="K74" s="702"/>
      <c r="L74" s="357"/>
    </row>
    <row r="75" spans="2:22" x14ac:dyDescent="0.25">
      <c r="C75" s="53"/>
      <c r="D75" s="53"/>
      <c r="E75" s="53"/>
      <c r="F75" s="53"/>
      <c r="G75" s="53"/>
      <c r="H75" s="53"/>
      <c r="I75" s="278"/>
      <c r="J75" s="278"/>
      <c r="K75" s="54"/>
      <c r="L75" s="54"/>
    </row>
    <row r="76" spans="2:22" ht="15" customHeight="1" x14ac:dyDescent="0.25">
      <c r="C76" s="53" t="s">
        <v>36</v>
      </c>
      <c r="D76" s="53"/>
      <c r="E76" s="53"/>
      <c r="F76" s="53"/>
      <c r="G76" s="53"/>
      <c r="H76" s="53"/>
      <c r="I76" s="278"/>
      <c r="J76" s="278"/>
      <c r="K76" s="54"/>
      <c r="L76" s="54"/>
    </row>
    <row r="77" spans="2:22" ht="9.6" customHeight="1" x14ac:dyDescent="0.25"/>
    <row r="78" spans="2:22" ht="18" customHeight="1" x14ac:dyDescent="0.25"/>
    <row r="79" spans="2:22" s="54" customFormat="1" ht="15" customHeight="1" x14ac:dyDescent="0.25">
      <c r="B79" s="407"/>
      <c r="C79" s="715" t="s">
        <v>32</v>
      </c>
      <c r="D79" s="716">
        <v>2010</v>
      </c>
      <c r="E79" s="717"/>
      <c r="F79" s="718"/>
      <c r="G79" s="716">
        <v>2011</v>
      </c>
      <c r="H79" s="717"/>
      <c r="I79" s="718"/>
      <c r="J79" s="408"/>
      <c r="K79" s="716">
        <v>2013</v>
      </c>
      <c r="L79" s="717"/>
      <c r="M79" s="718"/>
      <c r="N79" s="408"/>
      <c r="O79" s="716">
        <v>2014</v>
      </c>
      <c r="P79" s="717"/>
      <c r="Q79" s="718"/>
      <c r="R79" s="716">
        <v>2015</v>
      </c>
      <c r="S79" s="717"/>
      <c r="T79" s="718"/>
    </row>
    <row r="80" spans="2:22" s="54" customFormat="1" ht="15" customHeight="1" x14ac:dyDescent="0.25">
      <c r="B80" s="407"/>
      <c r="C80" s="715"/>
      <c r="D80" s="409" t="s">
        <v>33</v>
      </c>
      <c r="E80" s="409" t="s">
        <v>34</v>
      </c>
      <c r="F80" s="409" t="s">
        <v>35</v>
      </c>
      <c r="G80" s="409" t="s">
        <v>33</v>
      </c>
      <c r="H80" s="409" t="s">
        <v>34</v>
      </c>
      <c r="I80" s="409" t="s">
        <v>35</v>
      </c>
      <c r="J80" s="409"/>
      <c r="K80" s="409" t="s">
        <v>33</v>
      </c>
      <c r="L80" s="409" t="s">
        <v>34</v>
      </c>
      <c r="M80" s="409" t="s">
        <v>35</v>
      </c>
      <c r="N80" s="409"/>
      <c r="O80" s="409" t="s">
        <v>33</v>
      </c>
      <c r="P80" s="409" t="s">
        <v>34</v>
      </c>
      <c r="Q80" s="409" t="s">
        <v>35</v>
      </c>
      <c r="R80" s="409" t="s">
        <v>33</v>
      </c>
      <c r="S80" s="409" t="s">
        <v>34</v>
      </c>
      <c r="T80" s="409" t="s">
        <v>35</v>
      </c>
      <c r="V80" s="410"/>
    </row>
    <row r="81" spans="2:22" s="54" customFormat="1" ht="15" customHeight="1" x14ac:dyDescent="0.25">
      <c r="B81" s="407"/>
      <c r="C81" s="340" t="s">
        <v>39</v>
      </c>
      <c r="D81" s="340">
        <v>1682502</v>
      </c>
      <c r="E81" s="411">
        <v>4238017</v>
      </c>
      <c r="F81" s="375">
        <f t="shared" ref="F81:F101" si="0">D81+E81</f>
        <v>5920519</v>
      </c>
      <c r="G81" s="340">
        <v>1970081.77</v>
      </c>
      <c r="H81" s="340">
        <v>4430528</v>
      </c>
      <c r="I81" s="375">
        <f t="shared" ref="I81:I101" si="1">G81+H81</f>
        <v>6400609.7699999996</v>
      </c>
      <c r="J81" s="412">
        <f>I81/F81</f>
        <v>1.0810893048396601</v>
      </c>
      <c r="K81" s="340">
        <v>2150123</v>
      </c>
      <c r="L81" s="340">
        <v>6601182</v>
      </c>
      <c r="M81" s="340">
        <f>SUM(K81:L81)</f>
        <v>8751305</v>
      </c>
      <c r="N81" s="375">
        <f t="shared" ref="N81" si="2">L81+M81</f>
        <v>15352487</v>
      </c>
      <c r="O81" s="340">
        <v>3921861</v>
      </c>
      <c r="P81" s="340">
        <v>6674015</v>
      </c>
      <c r="Q81" s="375">
        <f t="shared" ref="Q81:Q100" si="3">O81+P81</f>
        <v>10595876</v>
      </c>
      <c r="R81" s="340">
        <v>1950494</v>
      </c>
      <c r="S81" s="340">
        <v>7890356</v>
      </c>
      <c r="T81" s="375">
        <f t="shared" ref="T81" si="4">R81+S81</f>
        <v>9840850</v>
      </c>
      <c r="V81" s="410"/>
    </row>
    <row r="82" spans="2:22" s="54" customFormat="1" ht="15" customHeight="1" x14ac:dyDescent="0.25">
      <c r="B82" s="407"/>
      <c r="C82" s="340" t="s">
        <v>41</v>
      </c>
      <c r="D82" s="340">
        <v>1426148</v>
      </c>
      <c r="E82" s="411">
        <v>1269045.2039224801</v>
      </c>
      <c r="F82" s="375">
        <f>D82+E82</f>
        <v>2695193.2039224803</v>
      </c>
      <c r="G82" s="340">
        <v>1509150</v>
      </c>
      <c r="H82" s="340">
        <v>1369030</v>
      </c>
      <c r="I82" s="375">
        <f>G82+H82</f>
        <v>2878180</v>
      </c>
      <c r="J82" s="412">
        <f t="shared" ref="J82:J100" si="5">I82/F82</f>
        <v>1.0678937583440058</v>
      </c>
      <c r="K82" s="340">
        <v>1502301</v>
      </c>
      <c r="L82" s="340">
        <v>1532070</v>
      </c>
      <c r="M82" s="340">
        <f t="shared" ref="M82:M100" si="6">SUM(K82:L82)</f>
        <v>3034371</v>
      </c>
      <c r="N82" s="375">
        <f>L82+M82</f>
        <v>4566441</v>
      </c>
      <c r="O82" s="340">
        <v>1727695</v>
      </c>
      <c r="P82" s="340">
        <v>1786622</v>
      </c>
      <c r="Q82" s="375">
        <f>O82+P82</f>
        <v>3514317</v>
      </c>
      <c r="R82" s="340">
        <v>1877264</v>
      </c>
      <c r="S82" s="340">
        <v>1913057</v>
      </c>
      <c r="T82" s="375">
        <f>R82+S82</f>
        <v>3790321</v>
      </c>
      <c r="V82" s="410"/>
    </row>
    <row r="83" spans="2:22" s="54" customFormat="1" ht="15" customHeight="1" x14ac:dyDescent="0.25">
      <c r="B83" s="407"/>
      <c r="C83" s="340" t="s">
        <v>40</v>
      </c>
      <c r="D83" s="340">
        <v>2556102</v>
      </c>
      <c r="E83" s="411">
        <v>1591529</v>
      </c>
      <c r="F83" s="375">
        <f t="shared" si="0"/>
        <v>4147631</v>
      </c>
      <c r="G83" s="340">
        <v>1516908</v>
      </c>
      <c r="H83" s="340">
        <v>1406499</v>
      </c>
      <c r="I83" s="375">
        <f t="shared" si="1"/>
        <v>2923407</v>
      </c>
      <c r="J83" s="412">
        <f t="shared" si="5"/>
        <v>0.70483777365922862</v>
      </c>
      <c r="K83" s="340">
        <v>1779909</v>
      </c>
      <c r="L83" s="340">
        <v>1130139</v>
      </c>
      <c r="M83" s="340">
        <f t="shared" si="6"/>
        <v>2910048</v>
      </c>
      <c r="N83" s="375">
        <f t="shared" ref="N83" si="7">L83+M83</f>
        <v>4040187</v>
      </c>
      <c r="O83" s="340">
        <v>1615790</v>
      </c>
      <c r="P83" s="340">
        <v>1575981</v>
      </c>
      <c r="Q83" s="375">
        <f t="shared" si="3"/>
        <v>3191771</v>
      </c>
      <c r="R83" s="340">
        <v>1935203</v>
      </c>
      <c r="S83" s="340">
        <v>1753984</v>
      </c>
      <c r="T83" s="375">
        <f t="shared" ref="T83" si="8">R83+S83</f>
        <v>3689187</v>
      </c>
      <c r="V83" s="410"/>
    </row>
    <row r="84" spans="2:22" s="54" customFormat="1" ht="15" customHeight="1" x14ac:dyDescent="0.25">
      <c r="B84" s="407"/>
      <c r="C84" s="340" t="s">
        <v>53</v>
      </c>
      <c r="D84" s="340">
        <v>78746014</v>
      </c>
      <c r="E84" s="411">
        <v>45839494.140000001</v>
      </c>
      <c r="F84" s="375">
        <f>D84+E84</f>
        <v>124585508.14</v>
      </c>
      <c r="G84" s="340">
        <v>78848903</v>
      </c>
      <c r="H84" s="340">
        <v>64656269</v>
      </c>
      <c r="I84" s="375">
        <f>G84+H84</f>
        <v>143505172</v>
      </c>
      <c r="J84" s="412">
        <f t="shared" si="5"/>
        <v>1.1518608716411822</v>
      </c>
      <c r="K84" s="340">
        <v>88352172</v>
      </c>
      <c r="L84" s="340">
        <v>78553743</v>
      </c>
      <c r="M84" s="340">
        <f t="shared" si="6"/>
        <v>166905915</v>
      </c>
      <c r="N84" s="375">
        <f>L84+M84</f>
        <v>245459658</v>
      </c>
      <c r="O84" s="340">
        <v>79726602</v>
      </c>
      <c r="P84" s="340">
        <v>80464700</v>
      </c>
      <c r="Q84" s="375">
        <f>O84+P84</f>
        <v>160191302</v>
      </c>
      <c r="R84" s="340">
        <v>98152406</v>
      </c>
      <c r="S84" s="340">
        <v>101948180</v>
      </c>
      <c r="T84" s="375">
        <f>R84+S84</f>
        <v>200100586</v>
      </c>
      <c r="V84" s="410"/>
    </row>
    <row r="85" spans="2:22" s="54" customFormat="1" ht="15" customHeight="1" x14ac:dyDescent="0.25">
      <c r="B85" s="407"/>
      <c r="C85" s="340" t="s">
        <v>42</v>
      </c>
      <c r="D85" s="340">
        <v>10223733</v>
      </c>
      <c r="E85" s="411">
        <v>19002626</v>
      </c>
      <c r="F85" s="375">
        <f t="shared" si="0"/>
        <v>29226359</v>
      </c>
      <c r="G85" s="340">
        <v>11239004</v>
      </c>
      <c r="H85" s="340">
        <v>19033512</v>
      </c>
      <c r="I85" s="375">
        <f t="shared" si="1"/>
        <v>30272516</v>
      </c>
      <c r="J85" s="412">
        <f t="shared" si="5"/>
        <v>1.0357949821939845</v>
      </c>
      <c r="K85" s="340">
        <v>11777751</v>
      </c>
      <c r="L85" s="340">
        <v>25101661</v>
      </c>
      <c r="M85" s="340">
        <f t="shared" si="6"/>
        <v>36879412</v>
      </c>
      <c r="N85" s="375">
        <f t="shared" ref="N85" si="9">L85+M85</f>
        <v>61981073</v>
      </c>
      <c r="O85" s="340">
        <v>12923845</v>
      </c>
      <c r="P85" s="340">
        <v>22177342</v>
      </c>
      <c r="Q85" s="375">
        <f t="shared" si="3"/>
        <v>35101187</v>
      </c>
      <c r="R85" s="340">
        <v>15507321</v>
      </c>
      <c r="S85" s="340">
        <v>23101140</v>
      </c>
      <c r="T85" s="375">
        <f t="shared" ref="T85" si="10">R85+S85</f>
        <v>38608461</v>
      </c>
      <c r="V85" s="410"/>
    </row>
    <row r="86" spans="2:22" s="54" customFormat="1" ht="15" customHeight="1" x14ac:dyDescent="0.25">
      <c r="B86" s="407"/>
      <c r="C86" s="340" t="s">
        <v>56</v>
      </c>
      <c r="D86" s="340">
        <v>15115</v>
      </c>
      <c r="E86" s="411">
        <v>747024.60800000001</v>
      </c>
      <c r="F86" s="375">
        <f>D86+E86</f>
        <v>762139.60800000001</v>
      </c>
      <c r="G86" s="340">
        <v>15047.65</v>
      </c>
      <c r="H86" s="340">
        <v>46822</v>
      </c>
      <c r="I86" s="375">
        <f>G86+H86</f>
        <v>61869.65</v>
      </c>
      <c r="J86" s="412">
        <f t="shared" si="5"/>
        <v>8.1178893408200878E-2</v>
      </c>
      <c r="K86" s="340">
        <v>9730</v>
      </c>
      <c r="L86" s="340">
        <v>52381</v>
      </c>
      <c r="M86" s="340">
        <f t="shared" si="6"/>
        <v>62111</v>
      </c>
      <c r="N86" s="375">
        <f>L86+M86</f>
        <v>114492</v>
      </c>
      <c r="O86" s="340">
        <v>12070</v>
      </c>
      <c r="P86" s="340">
        <v>54476</v>
      </c>
      <c r="Q86" s="375">
        <f>O86+P86</f>
        <v>66546</v>
      </c>
      <c r="R86" s="340">
        <v>12163</v>
      </c>
      <c r="S86" s="340">
        <v>44395</v>
      </c>
      <c r="T86" s="375">
        <f>R86+S86</f>
        <v>56558</v>
      </c>
      <c r="V86" s="410"/>
    </row>
    <row r="87" spans="2:22" s="54" customFormat="1" ht="15" customHeight="1" x14ac:dyDescent="0.25">
      <c r="B87" s="407"/>
      <c r="C87" s="340" t="s">
        <v>55</v>
      </c>
      <c r="D87" s="340">
        <v>39804</v>
      </c>
      <c r="E87" s="411">
        <v>70181</v>
      </c>
      <c r="F87" s="375">
        <f>D87+E87</f>
        <v>109985</v>
      </c>
      <c r="G87" s="340">
        <v>11353.99</v>
      </c>
      <c r="H87" s="340">
        <v>108200</v>
      </c>
      <c r="I87" s="375">
        <f>G87+H87</f>
        <v>119553.99</v>
      </c>
      <c r="J87" s="412">
        <f t="shared" si="5"/>
        <v>1.0870026821839343</v>
      </c>
      <c r="K87" s="340">
        <v>13924</v>
      </c>
      <c r="L87" s="340">
        <v>101473</v>
      </c>
      <c r="M87" s="340">
        <f t="shared" si="6"/>
        <v>115397</v>
      </c>
      <c r="N87" s="375">
        <f>L87+M87</f>
        <v>216870</v>
      </c>
      <c r="O87" s="340">
        <v>20381</v>
      </c>
      <c r="P87" s="340">
        <v>180121</v>
      </c>
      <c r="Q87" s="375">
        <f>O87+P87</f>
        <v>200502</v>
      </c>
      <c r="R87" s="340">
        <v>13691</v>
      </c>
      <c r="S87" s="340">
        <v>68199</v>
      </c>
      <c r="T87" s="375">
        <f>R87+S87</f>
        <v>81890</v>
      </c>
      <c r="V87" s="410"/>
    </row>
    <row r="88" spans="2:22" s="54" customFormat="1" ht="15" customHeight="1" x14ac:dyDescent="0.25">
      <c r="B88" s="407"/>
      <c r="C88" s="340" t="s">
        <v>43</v>
      </c>
      <c r="D88" s="340">
        <v>3802609</v>
      </c>
      <c r="E88" s="411">
        <v>3607111</v>
      </c>
      <c r="F88" s="375">
        <f t="shared" si="0"/>
        <v>7409720</v>
      </c>
      <c r="G88" s="340">
        <v>5015719</v>
      </c>
      <c r="H88" s="340">
        <v>3584924</v>
      </c>
      <c r="I88" s="375">
        <f t="shared" si="1"/>
        <v>8600643</v>
      </c>
      <c r="J88" s="412">
        <f t="shared" si="5"/>
        <v>1.1607244268339425</v>
      </c>
      <c r="K88" s="340">
        <v>4905326</v>
      </c>
      <c r="L88" s="340">
        <v>9261404</v>
      </c>
      <c r="M88" s="340">
        <f t="shared" si="6"/>
        <v>14166730</v>
      </c>
      <c r="N88" s="375">
        <f t="shared" ref="N88:N89" si="11">L88+M88</f>
        <v>23428134</v>
      </c>
      <c r="O88" s="340">
        <v>5150592</v>
      </c>
      <c r="P88" s="340">
        <v>6038696</v>
      </c>
      <c r="Q88" s="375">
        <f t="shared" si="3"/>
        <v>11189288</v>
      </c>
      <c r="R88" s="340">
        <v>4506594</v>
      </c>
      <c r="S88" s="340">
        <v>4804367</v>
      </c>
      <c r="T88" s="375">
        <f t="shared" ref="T88:T89" si="12">R88+S88</f>
        <v>9310961</v>
      </c>
      <c r="V88" s="410"/>
    </row>
    <row r="89" spans="2:22" s="54" customFormat="1" ht="15" customHeight="1" x14ac:dyDescent="0.25">
      <c r="B89" s="407"/>
      <c r="C89" s="340" t="s">
        <v>44</v>
      </c>
      <c r="D89" s="340">
        <v>679452.26649999991</v>
      </c>
      <c r="E89" s="411">
        <v>979732.52173799998</v>
      </c>
      <c r="F89" s="375">
        <f t="shared" si="0"/>
        <v>1659184.7882379999</v>
      </c>
      <c r="G89" s="340">
        <v>709042</v>
      </c>
      <c r="H89" s="340">
        <v>1116169</v>
      </c>
      <c r="I89" s="375">
        <f t="shared" si="1"/>
        <v>1825211</v>
      </c>
      <c r="J89" s="412">
        <f t="shared" si="5"/>
        <v>1.1000649312475403</v>
      </c>
      <c r="K89" s="340">
        <v>1148288</v>
      </c>
      <c r="L89" s="340">
        <v>1286129</v>
      </c>
      <c r="M89" s="340">
        <f t="shared" si="6"/>
        <v>2434417</v>
      </c>
      <c r="N89" s="375">
        <f t="shared" si="11"/>
        <v>3720546</v>
      </c>
      <c r="O89" s="340">
        <v>794901</v>
      </c>
      <c r="P89" s="340">
        <v>1849197</v>
      </c>
      <c r="Q89" s="375">
        <f t="shared" si="3"/>
        <v>2644098</v>
      </c>
      <c r="R89" s="340">
        <v>1289975</v>
      </c>
      <c r="S89" s="340">
        <v>1892408</v>
      </c>
      <c r="T89" s="375">
        <f t="shared" si="12"/>
        <v>3182383</v>
      </c>
      <c r="V89" s="410"/>
    </row>
    <row r="90" spans="2:22" s="54" customFormat="1" ht="15" customHeight="1" x14ac:dyDescent="0.25">
      <c r="B90" s="407"/>
      <c r="C90" s="340" t="s">
        <v>54</v>
      </c>
      <c r="D90" s="340">
        <v>490919.83199999999</v>
      </c>
      <c r="E90" s="411">
        <v>305440</v>
      </c>
      <c r="F90" s="375">
        <f>D90+E90</f>
        <v>796359.83199999994</v>
      </c>
      <c r="G90" s="340">
        <v>501773</v>
      </c>
      <c r="H90" s="340">
        <v>254381</v>
      </c>
      <c r="I90" s="375">
        <f>G90+H90</f>
        <v>756154</v>
      </c>
      <c r="J90" s="412">
        <f t="shared" si="5"/>
        <v>0.94951298347252655</v>
      </c>
      <c r="K90" s="340">
        <v>339560</v>
      </c>
      <c r="L90" s="340">
        <v>293560</v>
      </c>
      <c r="M90" s="340">
        <f t="shared" si="6"/>
        <v>633120</v>
      </c>
      <c r="N90" s="375">
        <f>L90+M90</f>
        <v>926680</v>
      </c>
      <c r="O90" s="340">
        <v>410354</v>
      </c>
      <c r="P90" s="340">
        <v>126366</v>
      </c>
      <c r="Q90" s="375">
        <f>O90+P90</f>
        <v>536720</v>
      </c>
      <c r="R90" s="340">
        <v>443737</v>
      </c>
      <c r="S90" s="340">
        <v>138204</v>
      </c>
      <c r="T90" s="375">
        <f>R90+S90</f>
        <v>581941</v>
      </c>
      <c r="V90" s="410"/>
    </row>
    <row r="91" spans="2:22" s="54" customFormat="1" ht="15" customHeight="1" x14ac:dyDescent="0.25">
      <c r="B91" s="407"/>
      <c r="C91" s="340" t="s">
        <v>45</v>
      </c>
      <c r="D91" s="340">
        <v>751355</v>
      </c>
      <c r="E91" s="411">
        <v>540322</v>
      </c>
      <c r="F91" s="375">
        <f t="shared" si="0"/>
        <v>1291677</v>
      </c>
      <c r="G91" s="340">
        <v>833122.71</v>
      </c>
      <c r="H91" s="340">
        <v>449768</v>
      </c>
      <c r="I91" s="375">
        <f t="shared" si="1"/>
        <v>1282890.71</v>
      </c>
      <c r="J91" s="412">
        <f t="shared" si="5"/>
        <v>0.99319776538561877</v>
      </c>
      <c r="K91" s="340">
        <v>735142</v>
      </c>
      <c r="L91" s="340">
        <v>489980</v>
      </c>
      <c r="M91" s="340">
        <f t="shared" si="6"/>
        <v>1225122</v>
      </c>
      <c r="N91" s="375">
        <f t="shared" ref="N91:N93" si="13">L91+M91</f>
        <v>1715102</v>
      </c>
      <c r="O91" s="340">
        <v>769102</v>
      </c>
      <c r="P91" s="340">
        <v>908222</v>
      </c>
      <c r="Q91" s="375">
        <f t="shared" si="3"/>
        <v>1677324</v>
      </c>
      <c r="R91" s="340">
        <v>1147352</v>
      </c>
      <c r="S91" s="340">
        <v>972752</v>
      </c>
      <c r="T91" s="375">
        <f t="shared" ref="T91:T93" si="14">R91+S91</f>
        <v>2120104</v>
      </c>
      <c r="V91" s="410"/>
    </row>
    <row r="92" spans="2:22" s="54" customFormat="1" ht="15" customHeight="1" x14ac:dyDescent="0.25">
      <c r="B92" s="407"/>
      <c r="C92" s="340" t="s">
        <v>46</v>
      </c>
      <c r="D92" s="340">
        <v>359295</v>
      </c>
      <c r="E92" s="411">
        <v>1815345</v>
      </c>
      <c r="F92" s="375">
        <f t="shared" si="0"/>
        <v>2174640</v>
      </c>
      <c r="G92" s="340">
        <v>355184</v>
      </c>
      <c r="H92" s="340">
        <v>1292100</v>
      </c>
      <c r="I92" s="375">
        <f t="shared" si="1"/>
        <v>1647284</v>
      </c>
      <c r="J92" s="412">
        <f t="shared" si="5"/>
        <v>0.75749733289188093</v>
      </c>
      <c r="K92" s="340">
        <v>491666</v>
      </c>
      <c r="L92" s="340">
        <v>1625310</v>
      </c>
      <c r="M92" s="340">
        <f t="shared" si="6"/>
        <v>2116976</v>
      </c>
      <c r="N92" s="375">
        <f t="shared" si="13"/>
        <v>3742286</v>
      </c>
      <c r="O92" s="340">
        <v>316115</v>
      </c>
      <c r="P92" s="340">
        <v>1194112</v>
      </c>
      <c r="Q92" s="375">
        <f t="shared" si="3"/>
        <v>1510227</v>
      </c>
      <c r="R92" s="340">
        <v>398116</v>
      </c>
      <c r="S92" s="340">
        <v>5740941</v>
      </c>
      <c r="T92" s="375">
        <f t="shared" si="14"/>
        <v>6139057</v>
      </c>
      <c r="V92" s="410"/>
    </row>
    <row r="93" spans="2:22" s="54" customFormat="1" ht="15" customHeight="1" x14ac:dyDescent="0.25">
      <c r="B93" s="407"/>
      <c r="C93" s="340" t="s">
        <v>47</v>
      </c>
      <c r="D93" s="340">
        <v>1867043</v>
      </c>
      <c r="E93" s="411">
        <v>2195979</v>
      </c>
      <c r="F93" s="375">
        <f t="shared" si="0"/>
        <v>4063022</v>
      </c>
      <c r="G93" s="340">
        <v>1773965</v>
      </c>
      <c r="H93" s="340">
        <v>1766959</v>
      </c>
      <c r="I93" s="375">
        <f t="shared" si="1"/>
        <v>3540924</v>
      </c>
      <c r="J93" s="412">
        <f t="shared" si="5"/>
        <v>0.87150008048196637</v>
      </c>
      <c r="K93" s="340">
        <v>1956037</v>
      </c>
      <c r="L93" s="340">
        <v>6859350</v>
      </c>
      <c r="M93" s="340">
        <f t="shared" si="6"/>
        <v>8815387</v>
      </c>
      <c r="N93" s="375">
        <f t="shared" si="13"/>
        <v>15674737</v>
      </c>
      <c r="O93" s="340">
        <v>2071561</v>
      </c>
      <c r="P93" s="340">
        <v>1423012</v>
      </c>
      <c r="Q93" s="375">
        <f t="shared" si="3"/>
        <v>3494573</v>
      </c>
      <c r="R93" s="340">
        <v>2401077</v>
      </c>
      <c r="S93" s="340">
        <v>1952300</v>
      </c>
      <c r="T93" s="375">
        <f t="shared" si="14"/>
        <v>4353377</v>
      </c>
      <c r="V93" s="410"/>
    </row>
    <row r="94" spans="2:22" s="54" customFormat="1" ht="15" customHeight="1" x14ac:dyDescent="0.25">
      <c r="B94" s="407"/>
      <c r="C94" s="340" t="s">
        <v>57</v>
      </c>
      <c r="D94" s="340">
        <v>587111</v>
      </c>
      <c r="E94" s="411">
        <v>404106.06761000003</v>
      </c>
      <c r="F94" s="375">
        <f>D94+E94</f>
        <v>991217.06761000003</v>
      </c>
      <c r="G94" s="340">
        <v>627237.49</v>
      </c>
      <c r="H94" s="340">
        <v>442866</v>
      </c>
      <c r="I94" s="375">
        <f>G94+H94</f>
        <v>1070103.49</v>
      </c>
      <c r="J94" s="412">
        <f t="shared" si="5"/>
        <v>1.079585415715459</v>
      </c>
      <c r="K94" s="340">
        <v>822739</v>
      </c>
      <c r="L94" s="340">
        <v>578295</v>
      </c>
      <c r="M94" s="340">
        <f t="shared" si="6"/>
        <v>1401034</v>
      </c>
      <c r="N94" s="375">
        <f>L94+M94</f>
        <v>1979329</v>
      </c>
      <c r="O94" s="340">
        <v>663523</v>
      </c>
      <c r="P94" s="340">
        <v>449690</v>
      </c>
      <c r="Q94" s="375">
        <f>O94+P94</f>
        <v>1113213</v>
      </c>
      <c r="R94" s="340">
        <v>820443</v>
      </c>
      <c r="S94" s="340">
        <v>455623</v>
      </c>
      <c r="T94" s="375">
        <f>R94+S94</f>
        <v>1276066</v>
      </c>
      <c r="V94" s="410"/>
    </row>
    <row r="95" spans="2:22" s="54" customFormat="1" ht="15" customHeight="1" x14ac:dyDescent="0.25">
      <c r="B95" s="407"/>
      <c r="C95" s="340" t="s">
        <v>48</v>
      </c>
      <c r="D95" s="340">
        <v>1034790</v>
      </c>
      <c r="E95" s="411">
        <v>1930723.26</v>
      </c>
      <c r="F95" s="375">
        <f t="shared" si="0"/>
        <v>2965513.26</v>
      </c>
      <c r="G95" s="340">
        <v>1086831.6499999999</v>
      </c>
      <c r="H95" s="340">
        <v>967094</v>
      </c>
      <c r="I95" s="375">
        <f t="shared" si="1"/>
        <v>2053925.65</v>
      </c>
      <c r="J95" s="412">
        <f t="shared" si="5"/>
        <v>0.69260376532593892</v>
      </c>
      <c r="K95" s="340">
        <v>1094653</v>
      </c>
      <c r="L95" s="340">
        <v>901320</v>
      </c>
      <c r="M95" s="340">
        <f t="shared" si="6"/>
        <v>1995973</v>
      </c>
      <c r="N95" s="375">
        <f t="shared" ref="N95:N97" si="15">L95+M95</f>
        <v>2897293</v>
      </c>
      <c r="O95" s="340">
        <v>1253849</v>
      </c>
      <c r="P95" s="340">
        <v>940495</v>
      </c>
      <c r="Q95" s="375">
        <f t="shared" si="3"/>
        <v>2194344</v>
      </c>
      <c r="R95" s="340">
        <v>1597920</v>
      </c>
      <c r="S95" s="340">
        <v>940466</v>
      </c>
      <c r="T95" s="375">
        <f t="shared" ref="T95:T97" si="16">R95+S95</f>
        <v>2538386</v>
      </c>
      <c r="V95" s="410"/>
    </row>
    <row r="96" spans="2:22" s="54" customFormat="1" ht="15" customHeight="1" x14ac:dyDescent="0.25">
      <c r="B96" s="407"/>
      <c r="C96" s="340" t="s">
        <v>49</v>
      </c>
      <c r="D96" s="340">
        <v>3445369.4415000002</v>
      </c>
      <c r="E96" s="411">
        <v>7876143</v>
      </c>
      <c r="F96" s="375">
        <f t="shared" si="0"/>
        <v>11321512.441500001</v>
      </c>
      <c r="G96" s="340">
        <v>3855604</v>
      </c>
      <c r="H96" s="340">
        <v>8804594</v>
      </c>
      <c r="I96" s="375">
        <f t="shared" si="1"/>
        <v>12660198</v>
      </c>
      <c r="J96" s="412">
        <f t="shared" si="5"/>
        <v>1.1182426434115755</v>
      </c>
      <c r="K96" s="340">
        <v>4866806</v>
      </c>
      <c r="L96" s="340">
        <v>10209341</v>
      </c>
      <c r="M96" s="340">
        <f t="shared" si="6"/>
        <v>15076147</v>
      </c>
      <c r="N96" s="375">
        <f t="shared" si="15"/>
        <v>25285488</v>
      </c>
      <c r="O96" s="340">
        <v>5539545</v>
      </c>
      <c r="P96" s="340">
        <v>8664084</v>
      </c>
      <c r="Q96" s="375">
        <f t="shared" si="3"/>
        <v>14203629</v>
      </c>
      <c r="R96" s="340">
        <v>3479641</v>
      </c>
      <c r="S96" s="340">
        <v>9070244</v>
      </c>
      <c r="T96" s="375">
        <f t="shared" si="16"/>
        <v>12549885</v>
      </c>
      <c r="V96" s="410"/>
    </row>
    <row r="97" spans="2:22" s="54" customFormat="1" ht="15" customHeight="1" x14ac:dyDescent="0.25">
      <c r="B97" s="407"/>
      <c r="C97" s="340" t="s">
        <v>50</v>
      </c>
      <c r="D97" s="340">
        <v>1263023</v>
      </c>
      <c r="E97" s="411">
        <v>1192004</v>
      </c>
      <c r="F97" s="375">
        <f t="shared" si="0"/>
        <v>2455027</v>
      </c>
      <c r="G97" s="340">
        <v>1110492</v>
      </c>
      <c r="H97" s="340">
        <v>1122164</v>
      </c>
      <c r="I97" s="375">
        <f t="shared" si="1"/>
        <v>2232656</v>
      </c>
      <c r="J97" s="412">
        <f t="shared" si="5"/>
        <v>0.90942217743430109</v>
      </c>
      <c r="K97" s="340">
        <v>1658234</v>
      </c>
      <c r="L97" s="340">
        <v>2349220</v>
      </c>
      <c r="M97" s="340">
        <f t="shared" si="6"/>
        <v>4007454</v>
      </c>
      <c r="N97" s="375">
        <f t="shared" si="15"/>
        <v>6356674</v>
      </c>
      <c r="O97" s="340">
        <v>7245605</v>
      </c>
      <c r="P97" s="340">
        <v>2154134</v>
      </c>
      <c r="Q97" s="375">
        <f t="shared" si="3"/>
        <v>9399739</v>
      </c>
      <c r="R97" s="340">
        <v>10124268</v>
      </c>
      <c r="S97" s="340">
        <v>2195063</v>
      </c>
      <c r="T97" s="375">
        <f t="shared" si="16"/>
        <v>12319331</v>
      </c>
      <c r="V97" s="410"/>
    </row>
    <row r="98" spans="2:22" s="54" customFormat="1" ht="15" customHeight="1" x14ac:dyDescent="0.25">
      <c r="B98" s="407"/>
      <c r="C98" s="340" t="s">
        <v>38</v>
      </c>
      <c r="D98" s="340">
        <v>38607672.27335</v>
      </c>
      <c r="E98" s="411">
        <v>102423063.05140001</v>
      </c>
      <c r="F98" s="375">
        <f>D98+E98</f>
        <v>141030735.32475001</v>
      </c>
      <c r="G98" s="340">
        <v>38794615</v>
      </c>
      <c r="H98" s="340">
        <v>103320484</v>
      </c>
      <c r="I98" s="375">
        <f>G98+H98</f>
        <v>142115099</v>
      </c>
      <c r="J98" s="412">
        <f t="shared" si="5"/>
        <v>1.0076888464968508</v>
      </c>
      <c r="K98" s="340">
        <v>54217860</v>
      </c>
      <c r="L98" s="340">
        <v>154014931</v>
      </c>
      <c r="M98" s="340">
        <f t="shared" si="6"/>
        <v>208232791</v>
      </c>
      <c r="N98" s="375">
        <f>L98+M98</f>
        <v>362247722</v>
      </c>
      <c r="O98" s="340">
        <v>55997783</v>
      </c>
      <c r="P98" s="340">
        <v>119764263</v>
      </c>
      <c r="Q98" s="375">
        <f>O98+P98</f>
        <v>175762046</v>
      </c>
      <c r="R98" s="340">
        <v>61230587</v>
      </c>
      <c r="S98" s="340">
        <v>175087263</v>
      </c>
      <c r="T98" s="375">
        <f>R98+S98</f>
        <v>236317850</v>
      </c>
      <c r="V98" s="410"/>
    </row>
    <row r="99" spans="2:22" s="54" customFormat="1" ht="15" customHeight="1" x14ac:dyDescent="0.25">
      <c r="B99" s="407"/>
      <c r="C99" s="340" t="s">
        <v>51</v>
      </c>
      <c r="D99" s="340">
        <v>1053724</v>
      </c>
      <c r="E99" s="411">
        <v>1760700</v>
      </c>
      <c r="F99" s="375">
        <f t="shared" si="0"/>
        <v>2814424</v>
      </c>
      <c r="G99" s="340">
        <v>974443</v>
      </c>
      <c r="H99" s="340">
        <v>1955033</v>
      </c>
      <c r="I99" s="375">
        <f t="shared" si="1"/>
        <v>2929476</v>
      </c>
      <c r="J99" s="412">
        <f t="shared" si="5"/>
        <v>1.0408794126258161</v>
      </c>
      <c r="K99" s="340">
        <v>1147813</v>
      </c>
      <c r="L99" s="340">
        <v>2155676</v>
      </c>
      <c r="M99" s="340">
        <f t="shared" si="6"/>
        <v>3303489</v>
      </c>
      <c r="N99" s="375">
        <f t="shared" ref="N99:N100" si="17">L99+M99</f>
        <v>5459165</v>
      </c>
      <c r="O99" s="340">
        <v>940511</v>
      </c>
      <c r="P99" s="340">
        <v>2266380</v>
      </c>
      <c r="Q99" s="375">
        <f t="shared" si="3"/>
        <v>3206891</v>
      </c>
      <c r="R99" s="340">
        <v>680921</v>
      </c>
      <c r="S99" s="340">
        <v>835671</v>
      </c>
      <c r="T99" s="375">
        <f t="shared" ref="T99:T100" si="18">R99+S99</f>
        <v>1516592</v>
      </c>
      <c r="V99" s="410"/>
    </row>
    <row r="100" spans="2:22" s="54" customFormat="1" ht="15" customHeight="1" x14ac:dyDescent="0.25">
      <c r="B100" s="407"/>
      <c r="C100" s="340" t="s">
        <v>52</v>
      </c>
      <c r="D100" s="340">
        <v>4668675</v>
      </c>
      <c r="E100" s="411">
        <v>9408641</v>
      </c>
      <c r="F100" s="375">
        <f t="shared" si="0"/>
        <v>14077316</v>
      </c>
      <c r="G100" s="340">
        <v>5684224</v>
      </c>
      <c r="H100" s="340">
        <v>11342255</v>
      </c>
      <c r="I100" s="375">
        <f t="shared" si="1"/>
        <v>17026479</v>
      </c>
      <c r="J100" s="412">
        <f t="shared" si="5"/>
        <v>1.2094975348994084</v>
      </c>
      <c r="K100" s="340">
        <v>8848537</v>
      </c>
      <c r="L100" s="340">
        <v>15713290</v>
      </c>
      <c r="M100" s="340">
        <f t="shared" si="6"/>
        <v>24561827</v>
      </c>
      <c r="N100" s="375">
        <f t="shared" si="17"/>
        <v>40275117</v>
      </c>
      <c r="O100" s="340">
        <v>8044787</v>
      </c>
      <c r="P100" s="340">
        <v>16525376</v>
      </c>
      <c r="Q100" s="375">
        <f t="shared" si="3"/>
        <v>24570163</v>
      </c>
      <c r="R100" s="340">
        <v>9498957</v>
      </c>
      <c r="S100" s="340">
        <v>18190471</v>
      </c>
      <c r="T100" s="375">
        <f t="shared" si="18"/>
        <v>27689428</v>
      </c>
      <c r="V100" s="410"/>
    </row>
    <row r="101" spans="2:22" s="54" customFormat="1" ht="15" customHeight="1" x14ac:dyDescent="0.25">
      <c r="B101" s="407"/>
      <c r="C101" s="413" t="s">
        <v>25</v>
      </c>
      <c r="D101" s="375">
        <f>SUM(D81:D100)</f>
        <v>153300456.81334999</v>
      </c>
      <c r="E101" s="375">
        <f>SUM(E81:E100)</f>
        <v>207197226.85267049</v>
      </c>
      <c r="F101" s="375">
        <f t="shared" si="0"/>
        <v>360497683.66602051</v>
      </c>
      <c r="G101" s="375">
        <f>SUM(G81:G100)</f>
        <v>156432701.25999999</v>
      </c>
      <c r="H101" s="375">
        <f>SUM(H81:H100)</f>
        <v>227469651</v>
      </c>
      <c r="I101" s="375">
        <f t="shared" si="1"/>
        <v>383902352.25999999</v>
      </c>
      <c r="J101" s="412"/>
      <c r="K101" s="375">
        <f>SUM(K81:K100)</f>
        <v>187818571</v>
      </c>
      <c r="L101" s="375">
        <f>SUM(L81:L100)</f>
        <v>318810455</v>
      </c>
      <c r="M101" s="375">
        <f>SUM(M81:M100)</f>
        <v>506629026</v>
      </c>
      <c r="N101" s="375">
        <f>L101+M101</f>
        <v>825439481</v>
      </c>
      <c r="O101" s="375">
        <f>SUM(O81:O100)</f>
        <v>189146472</v>
      </c>
      <c r="P101" s="375">
        <f>SUM(P81:P100)</f>
        <v>275217284</v>
      </c>
      <c r="Q101" s="375">
        <f>O101+P101</f>
        <v>464363756</v>
      </c>
      <c r="R101" s="375">
        <f>SUM(R81:R100)</f>
        <v>217068130</v>
      </c>
      <c r="S101" s="375">
        <f>SUM(S81:S100)</f>
        <v>358995084</v>
      </c>
      <c r="T101" s="375">
        <f>R101+S101</f>
        <v>576063214</v>
      </c>
      <c r="V101" s="410"/>
    </row>
    <row r="102" spans="2:22" ht="15" customHeight="1" x14ac:dyDescent="0.25">
      <c r="V102" s="325"/>
    </row>
    <row r="103" spans="2:22" ht="15" customHeight="1" x14ac:dyDescent="0.25"/>
  </sheetData>
  <mergeCells count="69">
    <mergeCell ref="R79:T79"/>
    <mergeCell ref="C32:H32"/>
    <mergeCell ref="C33:H33"/>
    <mergeCell ref="C34:H34"/>
    <mergeCell ref="C39:H39"/>
    <mergeCell ref="C47:H47"/>
    <mergeCell ref="C42:H42"/>
    <mergeCell ref="C43:H43"/>
    <mergeCell ref="C44:H44"/>
    <mergeCell ref="C37:H37"/>
    <mergeCell ref="I37:K37"/>
    <mergeCell ref="C38:H38"/>
    <mergeCell ref="I38:K38"/>
    <mergeCell ref="C48:H48"/>
    <mergeCell ref="C49:H49"/>
    <mergeCell ref="C52:H52"/>
    <mergeCell ref="O79:Q79"/>
    <mergeCell ref="C54:H54"/>
    <mergeCell ref="C69:H69"/>
    <mergeCell ref="C71:H71"/>
    <mergeCell ref="C57:H57"/>
    <mergeCell ref="C58:H58"/>
    <mergeCell ref="C59:H59"/>
    <mergeCell ref="C63:H63"/>
    <mergeCell ref="C64:H64"/>
    <mergeCell ref="C65:H65"/>
    <mergeCell ref="I16:K16"/>
    <mergeCell ref="I17:K17"/>
    <mergeCell ref="C53:H53"/>
    <mergeCell ref="I42:K42"/>
    <mergeCell ref="I43:K43"/>
    <mergeCell ref="B21:L21"/>
    <mergeCell ref="I10:K10"/>
    <mergeCell ref="I12:K12"/>
    <mergeCell ref="I13:K13"/>
    <mergeCell ref="I14:K14"/>
    <mergeCell ref="I15:K15"/>
    <mergeCell ref="C4:K4"/>
    <mergeCell ref="C79:C80"/>
    <mergeCell ref="D79:F79"/>
    <mergeCell ref="G79:I79"/>
    <mergeCell ref="K79:M79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I20:K20"/>
    <mergeCell ref="C10:H10"/>
    <mergeCell ref="B8:L8"/>
    <mergeCell ref="B5:K5"/>
    <mergeCell ref="C74:H74"/>
    <mergeCell ref="I74:K74"/>
    <mergeCell ref="B6:H6"/>
    <mergeCell ref="C26:H26"/>
    <mergeCell ref="C29:H29"/>
    <mergeCell ref="C27:H27"/>
    <mergeCell ref="C22:H22"/>
    <mergeCell ref="C23:H23"/>
    <mergeCell ref="C25:H25"/>
    <mergeCell ref="C28:H28"/>
    <mergeCell ref="C30:H30"/>
    <mergeCell ref="C70:H70"/>
    <mergeCell ref="I19:K19"/>
    <mergeCell ref="C9:H9"/>
  </mergeCells>
  <pageMargins left="0" right="0.11811023622047245" top="0.74803149606299213" bottom="0.74803149606299213" header="0.31496062992125984" footer="0.31496062992125984"/>
  <pageSetup paperSize="5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2:V32"/>
  <sheetViews>
    <sheetView zoomScale="90" zoomScaleNormal="90" workbookViewId="0">
      <selection activeCell="V22" sqref="V22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5.85546875" customWidth="1"/>
    <col min="4" max="4" width="14.42578125" customWidth="1"/>
    <col min="5" max="5" width="13.42578125" customWidth="1"/>
    <col min="6" max="6" width="14.28515625" customWidth="1"/>
    <col min="7" max="7" width="14.85546875" customWidth="1"/>
    <col min="8" max="8" width="16.28515625" style="1" customWidth="1"/>
    <col min="9" max="9" width="16.5703125" customWidth="1"/>
    <col min="10" max="11" width="17.5703125" customWidth="1"/>
    <col min="12" max="12" width="17.140625" customWidth="1"/>
    <col min="13" max="13" width="15.42578125" hidden="1" customWidth="1"/>
    <col min="14" max="16" width="14.42578125" hidden="1" customWidth="1"/>
    <col min="17" max="17" width="18.85546875" customWidth="1"/>
    <col min="18" max="18" width="15.85546875" customWidth="1"/>
    <col min="19" max="19" width="14.7109375" bestFit="1" customWidth="1"/>
  </cols>
  <sheetData>
    <row r="2" spans="2:22" x14ac:dyDescent="0.25">
      <c r="B2" s="2"/>
      <c r="C2" s="2"/>
      <c r="D2" s="2"/>
      <c r="E2" s="2"/>
      <c r="F2" s="2"/>
      <c r="G2" s="2"/>
      <c r="S2" s="213"/>
    </row>
    <row r="3" spans="2:22" ht="8.25" customHeight="1" thickBot="1" x14ac:dyDescent="0.3"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3"/>
    </row>
    <row r="4" spans="2:22" ht="16.5" thickBot="1" x14ac:dyDescent="0.3">
      <c r="B4" s="744" t="s">
        <v>223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6"/>
    </row>
    <row r="5" spans="2:22" ht="33.75" customHeight="1" thickBot="1" x14ac:dyDescent="0.3">
      <c r="B5" s="747" t="s">
        <v>325</v>
      </c>
      <c r="C5" s="747" t="s">
        <v>333</v>
      </c>
      <c r="D5" s="328"/>
      <c r="E5" s="571" t="s">
        <v>332</v>
      </c>
      <c r="F5" s="571"/>
      <c r="G5" s="571"/>
      <c r="H5" s="572"/>
      <c r="I5" s="756" t="s">
        <v>224</v>
      </c>
      <c r="J5" s="757"/>
      <c r="K5" s="757"/>
      <c r="L5" s="758"/>
      <c r="M5" s="753" t="s">
        <v>228</v>
      </c>
      <c r="N5" s="756" t="s">
        <v>231</v>
      </c>
      <c r="O5" s="757"/>
      <c r="P5" s="757"/>
      <c r="Q5" s="757"/>
      <c r="R5" s="758"/>
      <c r="S5" s="460" t="s">
        <v>66</v>
      </c>
    </row>
    <row r="6" spans="2:22" ht="15" customHeight="1" x14ac:dyDescent="0.25">
      <c r="B6" s="748"/>
      <c r="C6" s="748"/>
      <c r="D6" s="196" t="s">
        <v>64</v>
      </c>
      <c r="E6" s="585" t="s">
        <v>82</v>
      </c>
      <c r="F6" s="195" t="s">
        <v>88</v>
      </c>
      <c r="G6" s="195" t="s">
        <v>230</v>
      </c>
      <c r="H6" s="195" t="s">
        <v>63</v>
      </c>
      <c r="I6" s="742" t="s">
        <v>335</v>
      </c>
      <c r="J6" s="753" t="s">
        <v>336</v>
      </c>
      <c r="K6" s="195" t="s">
        <v>230</v>
      </c>
      <c r="L6" s="753" t="s">
        <v>337</v>
      </c>
      <c r="M6" s="754"/>
      <c r="N6" s="750" t="s">
        <v>227</v>
      </c>
      <c r="O6" s="329"/>
      <c r="P6" s="329"/>
      <c r="Q6" s="195" t="s">
        <v>88</v>
      </c>
      <c r="R6" s="193" t="s">
        <v>102</v>
      </c>
      <c r="S6" s="552"/>
    </row>
    <row r="7" spans="2:22" x14ac:dyDescent="0.25">
      <c r="B7" s="748"/>
      <c r="C7" s="748"/>
      <c r="D7" s="196" t="s">
        <v>65</v>
      </c>
      <c r="E7" s="573">
        <v>2010</v>
      </c>
      <c r="F7" s="196" t="s">
        <v>96</v>
      </c>
      <c r="G7" s="196" t="s">
        <v>175</v>
      </c>
      <c r="H7" s="196" t="s">
        <v>87</v>
      </c>
      <c r="I7" s="743"/>
      <c r="J7" s="754"/>
      <c r="K7" s="196" t="s">
        <v>175</v>
      </c>
      <c r="L7" s="754"/>
      <c r="M7" s="754"/>
      <c r="N7" s="751"/>
      <c r="O7" s="330"/>
      <c r="P7" s="330"/>
      <c r="Q7" s="196" t="s">
        <v>338</v>
      </c>
      <c r="R7" s="72" t="s">
        <v>103</v>
      </c>
      <c r="S7" s="554" t="s">
        <v>360</v>
      </c>
    </row>
    <row r="8" spans="2:22" x14ac:dyDescent="0.25">
      <c r="B8" s="748"/>
      <c r="C8" s="256">
        <v>2014</v>
      </c>
      <c r="D8" s="206" t="s">
        <v>61</v>
      </c>
      <c r="E8" s="55" t="s">
        <v>85</v>
      </c>
      <c r="F8" s="196" t="s">
        <v>334</v>
      </c>
      <c r="G8" s="331">
        <v>0.6</v>
      </c>
      <c r="H8" s="331">
        <v>0.6</v>
      </c>
      <c r="I8" s="743"/>
      <c r="J8" s="196"/>
      <c r="K8" s="331">
        <v>0.3</v>
      </c>
      <c r="L8" s="331">
        <v>0.3</v>
      </c>
      <c r="M8" s="754"/>
      <c r="N8" s="751"/>
      <c r="O8" s="330"/>
      <c r="P8" s="330"/>
      <c r="Q8" s="196" t="s">
        <v>171</v>
      </c>
      <c r="R8" s="72" t="s">
        <v>170</v>
      </c>
      <c r="S8" s="552"/>
    </row>
    <row r="9" spans="2:22" ht="15.75" thickBot="1" x14ac:dyDescent="0.3">
      <c r="B9" s="749"/>
      <c r="C9" s="147" t="s">
        <v>4</v>
      </c>
      <c r="D9" s="253" t="s">
        <v>5</v>
      </c>
      <c r="E9" s="332" t="s">
        <v>30</v>
      </c>
      <c r="F9" s="253" t="s">
        <v>28</v>
      </c>
      <c r="G9" s="253" t="s">
        <v>98</v>
      </c>
      <c r="H9" s="253" t="s">
        <v>105</v>
      </c>
      <c r="I9" s="332" t="s">
        <v>114</v>
      </c>
      <c r="J9" s="333" t="s">
        <v>357</v>
      </c>
      <c r="K9" s="253" t="s">
        <v>115</v>
      </c>
      <c r="L9" s="253" t="s">
        <v>116</v>
      </c>
      <c r="M9" s="755"/>
      <c r="N9" s="752"/>
      <c r="O9" s="334"/>
      <c r="P9" s="334"/>
      <c r="Q9" s="253" t="s">
        <v>358</v>
      </c>
      <c r="R9" s="510" t="s">
        <v>359</v>
      </c>
      <c r="S9" s="553"/>
      <c r="V9" s="281"/>
    </row>
    <row r="10" spans="2:22" x14ac:dyDescent="0.25">
      <c r="B10" s="108" t="s">
        <v>6</v>
      </c>
      <c r="C10" s="487">
        <v>3.62</v>
      </c>
      <c r="D10" s="488">
        <f>Datos!I$13*C10%</f>
        <v>35350314.182820007</v>
      </c>
      <c r="E10" s="490">
        <v>36572</v>
      </c>
      <c r="F10" s="491">
        <f>E10/E$30*100</f>
        <v>3.3707564846877225</v>
      </c>
      <c r="G10" s="491">
        <f>F10*0.6</f>
        <v>2.0224538908126335</v>
      </c>
      <c r="H10" s="492">
        <f>Datos!$K$18*'FGP TOTAL'!G10/100</f>
        <v>3234853.9991230057</v>
      </c>
      <c r="I10" s="489">
        <f>Datos!T81/Datos!Q81</f>
        <v>0.92874340922826959</v>
      </c>
      <c r="J10" s="489">
        <f>I10/$I$30*100</f>
        <v>3.8848419068517934</v>
      </c>
      <c r="K10" s="489">
        <f>J10*0.3</f>
        <v>1.165452572055538</v>
      </c>
      <c r="L10" s="490">
        <f>Datos!$K$18*'FGP TOTAL'!K10/100</f>
        <v>1864106.2377878069</v>
      </c>
      <c r="M10" s="493">
        <f>H10+L10</f>
        <v>5098960.2369108126</v>
      </c>
      <c r="N10" s="489">
        <f>K10+G10</f>
        <v>3.1879064628681713</v>
      </c>
      <c r="O10" s="489">
        <f>1/N10</f>
        <v>0.31368548972428012</v>
      </c>
      <c r="P10" s="489">
        <f>O10/$O$30*100</f>
        <v>4.6150181798460652</v>
      </c>
      <c r="Q10" s="489">
        <f>P10*0.1</f>
        <v>0.46150181798460654</v>
      </c>
      <c r="R10" s="490">
        <f>Q10*Datos!$K$18/100</f>
        <v>738158.23851004581</v>
      </c>
      <c r="S10" s="494">
        <f t="shared" ref="S10:S29" si="0">D10+H10+L10+R10</f>
        <v>41187432.658240862</v>
      </c>
      <c r="T10" s="293"/>
      <c r="U10" s="293"/>
      <c r="V10" s="281"/>
    </row>
    <row r="11" spans="2:22" x14ac:dyDescent="0.25">
      <c r="B11" s="117" t="s">
        <v>7</v>
      </c>
      <c r="C11" s="261">
        <v>2.4700000000000002</v>
      </c>
      <c r="D11" s="336">
        <f>Datos!I$13*C11%</f>
        <v>24120241.997670002</v>
      </c>
      <c r="E11" s="338">
        <v>15229</v>
      </c>
      <c r="F11" s="298">
        <f t="shared" ref="F11:F29" si="1">E11/E$30*100</f>
        <v>1.4036216369164749</v>
      </c>
      <c r="G11" s="298">
        <f t="shared" ref="G11:G29" si="2">F11*0.6</f>
        <v>0.8421729821498849</v>
      </c>
      <c r="H11" s="339">
        <f>Datos!$K$18*'FGP TOTAL'!G11/100</f>
        <v>1347030.284169426</v>
      </c>
      <c r="I11" s="337">
        <f>Datos!T82/Datos!Q82</f>
        <v>1.0785370244061649</v>
      </c>
      <c r="J11" s="337">
        <f t="shared" ref="J11:J29" si="3">I11/$I$30*100</f>
        <v>4.5114137972574149</v>
      </c>
      <c r="K11" s="337">
        <f t="shared" ref="K11:K29" si="4">J11*0.3</f>
        <v>1.3534241391772244</v>
      </c>
      <c r="L11" s="340">
        <f>Datos!$K$18*'FGP TOTAL'!K11/100</f>
        <v>2164761.0899885083</v>
      </c>
      <c r="M11" s="341">
        <f t="shared" ref="M11:M30" si="5">H11+L11</f>
        <v>3511791.3741579344</v>
      </c>
      <c r="N11" s="337">
        <f t="shared" ref="N11:N29" si="6">K11+G11</f>
        <v>2.1955971213271095</v>
      </c>
      <c r="O11" s="337">
        <f t="shared" ref="O11:O29" si="7">1/N11</f>
        <v>0.45545696443414846</v>
      </c>
      <c r="P11" s="337">
        <f t="shared" ref="P11:P29" si="8">O11/$O$30*100</f>
        <v>6.7007950315095544</v>
      </c>
      <c r="Q11" s="337">
        <f t="shared" ref="Q11:Q29" si="9">P11*0.1</f>
        <v>0.67007950315095544</v>
      </c>
      <c r="R11" s="340">
        <f>Q11*Datos!$K$18/100</f>
        <v>1071771.9550220584</v>
      </c>
      <c r="S11" s="417">
        <f t="shared" si="0"/>
        <v>28703805.326849993</v>
      </c>
      <c r="T11" s="293"/>
      <c r="U11" s="293"/>
      <c r="V11" s="281"/>
    </row>
    <row r="12" spans="2:22" x14ac:dyDescent="0.25">
      <c r="B12" s="117" t="s">
        <v>8</v>
      </c>
      <c r="C12" s="261">
        <v>2.33</v>
      </c>
      <c r="D12" s="336">
        <f>Datos!I$13*C12%</f>
        <v>22753102.77513</v>
      </c>
      <c r="E12" s="340">
        <v>11188</v>
      </c>
      <c r="F12" s="298">
        <f t="shared" si="1"/>
        <v>1.0311720319010782</v>
      </c>
      <c r="G12" s="298">
        <f t="shared" si="2"/>
        <v>0.61870321914064685</v>
      </c>
      <c r="H12" s="339">
        <f>Datos!$K$18*'FGP TOTAL'!G12/100</f>
        <v>989597.13830767199</v>
      </c>
      <c r="I12" s="337">
        <f>Datos!T83/Datos!Q83</f>
        <v>1.1558432606850555</v>
      </c>
      <c r="J12" s="337">
        <f t="shared" si="3"/>
        <v>4.8347781445821196</v>
      </c>
      <c r="K12" s="337">
        <f t="shared" si="4"/>
        <v>1.4504334433746358</v>
      </c>
      <c r="L12" s="340">
        <f>Datos!$K$18*'FGP TOTAL'!K12/100</f>
        <v>2319924.5461546439</v>
      </c>
      <c r="M12" s="341">
        <f t="shared" si="5"/>
        <v>3309521.6844623159</v>
      </c>
      <c r="N12" s="337">
        <f t="shared" si="6"/>
        <v>2.0691366625152825</v>
      </c>
      <c r="O12" s="337">
        <f t="shared" si="7"/>
        <v>0.48329335520273498</v>
      </c>
      <c r="P12" s="337">
        <f t="shared" si="8"/>
        <v>7.1103308680930164</v>
      </c>
      <c r="Q12" s="337">
        <f t="shared" si="9"/>
        <v>0.71103308680930166</v>
      </c>
      <c r="R12" s="340">
        <f>Q12*Datos!$K$18/100</f>
        <v>1137275.9768825464</v>
      </c>
      <c r="S12" s="417">
        <f t="shared" si="0"/>
        <v>27199900.436474863</v>
      </c>
      <c r="T12" s="293"/>
      <c r="U12" s="293"/>
      <c r="V12" s="281"/>
    </row>
    <row r="13" spans="2:22" x14ac:dyDescent="0.25">
      <c r="B13" s="117" t="s">
        <v>9</v>
      </c>
      <c r="C13" s="261">
        <v>2.81</v>
      </c>
      <c r="D13" s="336">
        <f>Datos!I$13*C13%</f>
        <v>27440437.252410002</v>
      </c>
      <c r="E13" s="340">
        <v>124205</v>
      </c>
      <c r="F13" s="298">
        <f t="shared" si="1"/>
        <v>11.447687005923617</v>
      </c>
      <c r="G13" s="298">
        <f t="shared" si="2"/>
        <v>6.8686122035541706</v>
      </c>
      <c r="H13" s="339">
        <f>Datos!$K$18*'FGP TOTAL'!G13/100</f>
        <v>10986138.055372223</v>
      </c>
      <c r="I13" s="337">
        <f>Datos!T84/Datos!Q84</f>
        <v>1.2491351496724834</v>
      </c>
      <c r="J13" s="337">
        <f t="shared" si="3"/>
        <v>5.2250088975614357</v>
      </c>
      <c r="K13" s="337">
        <f t="shared" si="4"/>
        <v>1.5675026692684306</v>
      </c>
      <c r="L13" s="340">
        <f>Datos!$K$18*'FGP TOTAL'!K13/100</f>
        <v>2507173.2420468465</v>
      </c>
      <c r="M13" s="341">
        <f t="shared" si="5"/>
        <v>13493311.297419069</v>
      </c>
      <c r="N13" s="337">
        <f t="shared" si="6"/>
        <v>8.4361148728226016</v>
      </c>
      <c r="O13" s="337">
        <f t="shared" si="7"/>
        <v>0.11853797809481635</v>
      </c>
      <c r="P13" s="337">
        <f t="shared" si="8"/>
        <v>1.7439599274758182</v>
      </c>
      <c r="Q13" s="337">
        <f t="shared" si="9"/>
        <v>0.17439599274758183</v>
      </c>
      <c r="R13" s="340">
        <f>Q13*Datos!$K$18/100</f>
        <v>278941.13044221984</v>
      </c>
      <c r="S13" s="417">
        <f t="shared" si="0"/>
        <v>41212689.68027129</v>
      </c>
      <c r="T13" s="293"/>
      <c r="U13" s="293"/>
      <c r="V13" s="281"/>
    </row>
    <row r="14" spans="2:22" x14ac:dyDescent="0.25">
      <c r="B14" s="117" t="s">
        <v>10</v>
      </c>
      <c r="C14" s="261">
        <v>4.6399999999999997</v>
      </c>
      <c r="D14" s="336">
        <f>Datos!I$13*C14%</f>
        <v>45310899.947039999</v>
      </c>
      <c r="E14" s="340">
        <v>70399</v>
      </c>
      <c r="F14" s="298">
        <f t="shared" si="1"/>
        <v>6.4885126808905982</v>
      </c>
      <c r="G14" s="298">
        <f t="shared" si="2"/>
        <v>3.8931076085343586</v>
      </c>
      <c r="H14" s="339">
        <f>Datos!$K$18*'FGP TOTAL'!G14/100</f>
        <v>6226908.1998321246</v>
      </c>
      <c r="I14" s="337">
        <f>Datos!T85/Datos!Q85</f>
        <v>1.0999189571566341</v>
      </c>
      <c r="J14" s="337">
        <f t="shared" si="3"/>
        <v>4.6008523090930273</v>
      </c>
      <c r="K14" s="337">
        <f t="shared" si="4"/>
        <v>1.3802556927279082</v>
      </c>
      <c r="L14" s="340">
        <f>Datos!$K$18*'FGP TOTAL'!K14/100</f>
        <v>2207677.3506263406</v>
      </c>
      <c r="M14" s="341">
        <f t="shared" si="5"/>
        <v>8434585.5504584648</v>
      </c>
      <c r="N14" s="337">
        <f t="shared" si="6"/>
        <v>5.2733633012622665</v>
      </c>
      <c r="O14" s="337">
        <f t="shared" si="7"/>
        <v>0.18963229780899668</v>
      </c>
      <c r="P14" s="337">
        <f t="shared" si="8"/>
        <v>2.7899170683468286</v>
      </c>
      <c r="Q14" s="337">
        <f t="shared" si="9"/>
        <v>0.27899170683468288</v>
      </c>
      <c r="R14" s="340">
        <f>Q14*Datos!$K$18/100</f>
        <v>446238.82041320542</v>
      </c>
      <c r="S14" s="417">
        <f t="shared" si="0"/>
        <v>54191724.31791167</v>
      </c>
      <c r="T14" s="293"/>
      <c r="U14" s="293"/>
      <c r="V14" s="281"/>
    </row>
    <row r="15" spans="2:22" x14ac:dyDescent="0.25">
      <c r="B15" s="117" t="s">
        <v>11</v>
      </c>
      <c r="C15" s="261">
        <v>1.5</v>
      </c>
      <c r="D15" s="336">
        <f>Datos!I$13*C15%</f>
        <v>14647920.2415</v>
      </c>
      <c r="E15" s="340">
        <v>34300</v>
      </c>
      <c r="F15" s="298">
        <f t="shared" si="1"/>
        <v>3.1613515100292262</v>
      </c>
      <c r="G15" s="298">
        <f t="shared" si="2"/>
        <v>1.8968109060175355</v>
      </c>
      <c r="H15" s="339">
        <f>Datos!$K$18*'FGP TOTAL'!G15/100</f>
        <v>3033891.8344613109</v>
      </c>
      <c r="I15" s="337">
        <f>Datos!T86/Datos!Q86</f>
        <v>0.84990833408469324</v>
      </c>
      <c r="J15" s="337">
        <f t="shared" si="3"/>
        <v>3.5550825776286001</v>
      </c>
      <c r="K15" s="337">
        <f t="shared" si="4"/>
        <v>1.0665247732885801</v>
      </c>
      <c r="L15" s="340">
        <f>Datos!$K$18*'FGP TOTAL'!K15/100</f>
        <v>1705874.2074213964</v>
      </c>
      <c r="M15" s="341">
        <f t="shared" si="5"/>
        <v>4739766.0418827068</v>
      </c>
      <c r="N15" s="337">
        <f t="shared" si="6"/>
        <v>2.9633356793061156</v>
      </c>
      <c r="O15" s="337">
        <f t="shared" si="7"/>
        <v>0.33745755061882038</v>
      </c>
      <c r="P15" s="337">
        <f t="shared" si="8"/>
        <v>4.9647585943521406</v>
      </c>
      <c r="Q15" s="337">
        <f t="shared" si="9"/>
        <v>0.49647585943521411</v>
      </c>
      <c r="R15" s="340">
        <f>Q15*Datos!$K$18/100</f>
        <v>794098.16295822849</v>
      </c>
      <c r="S15" s="417">
        <f t="shared" si="0"/>
        <v>20181784.446340933</v>
      </c>
      <c r="T15" s="293"/>
      <c r="U15" s="293"/>
      <c r="V15" s="281"/>
    </row>
    <row r="16" spans="2:22" x14ac:dyDescent="0.25">
      <c r="B16" s="117" t="s">
        <v>12</v>
      </c>
      <c r="C16" s="261">
        <v>1.53</v>
      </c>
      <c r="D16" s="336">
        <f>Datos!I$13*C16%</f>
        <v>14940878.646330001</v>
      </c>
      <c r="E16" s="340">
        <v>11400</v>
      </c>
      <c r="F16" s="298">
        <f t="shared" si="1"/>
        <v>1.050711580592804</v>
      </c>
      <c r="G16" s="298">
        <f t="shared" si="2"/>
        <v>0.63042694835568236</v>
      </c>
      <c r="H16" s="339">
        <f>Datos!$K$18*'FGP TOTAL'!G16/100</f>
        <v>1008348.8895877243</v>
      </c>
      <c r="I16" s="337">
        <f>Datos!T87/Datos!Q87</f>
        <v>0.40842485361742026</v>
      </c>
      <c r="J16" s="337">
        <f t="shared" si="3"/>
        <v>1.7084008041049661</v>
      </c>
      <c r="K16" s="337">
        <f t="shared" si="4"/>
        <v>0.51252024123148976</v>
      </c>
      <c r="L16" s="340">
        <f>Datos!$K$18*'FGP TOTAL'!K16/100</f>
        <v>819760.66772677202</v>
      </c>
      <c r="M16" s="341">
        <f t="shared" si="5"/>
        <v>1828109.5573144965</v>
      </c>
      <c r="N16" s="337">
        <f t="shared" si="6"/>
        <v>1.1429471895871721</v>
      </c>
      <c r="O16" s="337">
        <f t="shared" si="7"/>
        <v>0.87493106340389704</v>
      </c>
      <c r="P16" s="337">
        <f t="shared" si="8"/>
        <v>12.872201284382509</v>
      </c>
      <c r="Q16" s="337">
        <f t="shared" si="9"/>
        <v>1.287220128438251</v>
      </c>
      <c r="R16" s="340">
        <f>Q16*Datos!$K$18/100</f>
        <v>2058869.7715906883</v>
      </c>
      <c r="S16" s="417">
        <f t="shared" si="0"/>
        <v>18827857.975235187</v>
      </c>
      <c r="T16" s="293"/>
      <c r="U16" s="293"/>
      <c r="V16" s="281"/>
    </row>
    <row r="17" spans="2:22" x14ac:dyDescent="0.25">
      <c r="B17" s="117" t="s">
        <v>13</v>
      </c>
      <c r="C17" s="261">
        <v>3.16</v>
      </c>
      <c r="D17" s="336">
        <f>Datos!I$13*C17%</f>
        <v>30858285.308760002</v>
      </c>
      <c r="E17" s="340">
        <v>27273</v>
      </c>
      <c r="F17" s="298">
        <f t="shared" si="1"/>
        <v>2.5136892050445216</v>
      </c>
      <c r="G17" s="298">
        <f t="shared" si="2"/>
        <v>1.5082135230267129</v>
      </c>
      <c r="H17" s="339">
        <f>Datos!$K$18*'FGP TOTAL'!G17/100</f>
        <v>2412342.040853159</v>
      </c>
      <c r="I17" s="337">
        <f>Datos!T88/Datos!Q88</f>
        <v>0.8321316780835385</v>
      </c>
      <c r="J17" s="337">
        <f t="shared" si="3"/>
        <v>3.4807245821792883</v>
      </c>
      <c r="K17" s="337">
        <f t="shared" si="4"/>
        <v>1.0442173746537864</v>
      </c>
      <c r="L17" s="340">
        <f>Datos!$K$18*'FGP TOTAL'!K17/100</f>
        <v>1670194.1961184943</v>
      </c>
      <c r="M17" s="341">
        <f t="shared" si="5"/>
        <v>4082536.2369716531</v>
      </c>
      <c r="N17" s="337">
        <f t="shared" si="6"/>
        <v>2.552430897680499</v>
      </c>
      <c r="O17" s="337">
        <f t="shared" si="7"/>
        <v>0.39178337831153115</v>
      </c>
      <c r="P17" s="337">
        <f t="shared" si="8"/>
        <v>5.7640135508291372</v>
      </c>
      <c r="Q17" s="337">
        <f t="shared" si="9"/>
        <v>0.57640135508291379</v>
      </c>
      <c r="R17" s="340">
        <f>Q17*Datos!$K$18/100</f>
        <v>921936.58261384978</v>
      </c>
      <c r="S17" s="417">
        <f t="shared" si="0"/>
        <v>35862758.128345504</v>
      </c>
      <c r="T17" s="293"/>
      <c r="U17" s="293"/>
      <c r="V17" s="281"/>
    </row>
    <row r="18" spans="2:22" x14ac:dyDescent="0.25">
      <c r="B18" s="117" t="s">
        <v>14</v>
      </c>
      <c r="C18" s="261">
        <v>2.81</v>
      </c>
      <c r="D18" s="336">
        <f>Datos!I$13*C18%</f>
        <v>27440437.252410002</v>
      </c>
      <c r="E18" s="340">
        <v>17698</v>
      </c>
      <c r="F18" s="298">
        <f t="shared" si="1"/>
        <v>1.6311836450290742</v>
      </c>
      <c r="G18" s="298">
        <f t="shared" si="2"/>
        <v>0.9787101870174445</v>
      </c>
      <c r="H18" s="339">
        <f>Datos!$K$18*'FGP TOTAL'!G18/100</f>
        <v>1565417.4252564516</v>
      </c>
      <c r="I18" s="337">
        <f>Datos!T89/Datos!Q89</f>
        <v>1.2035798219279317</v>
      </c>
      <c r="J18" s="337">
        <f t="shared" si="3"/>
        <v>5.0344554631640293</v>
      </c>
      <c r="K18" s="337">
        <f t="shared" si="4"/>
        <v>1.5103366389492088</v>
      </c>
      <c r="L18" s="340">
        <f>Datos!$K$18*'FGP TOTAL'!K18/100</f>
        <v>2415737.9007358919</v>
      </c>
      <c r="M18" s="341">
        <f t="shared" si="5"/>
        <v>3981155.3259923435</v>
      </c>
      <c r="N18" s="337">
        <f t="shared" si="6"/>
        <v>2.4890468259666534</v>
      </c>
      <c r="O18" s="337">
        <f t="shared" si="7"/>
        <v>0.40176021984304661</v>
      </c>
      <c r="P18" s="337">
        <f t="shared" si="8"/>
        <v>5.9107953005551375</v>
      </c>
      <c r="Q18" s="337">
        <f t="shared" si="9"/>
        <v>0.59107953005551372</v>
      </c>
      <c r="R18" s="340">
        <f>Q18*Datos!$K$18/100</f>
        <v>945413.88077408809</v>
      </c>
      <c r="S18" s="417">
        <f t="shared" si="0"/>
        <v>32367006.459176436</v>
      </c>
      <c r="T18" s="293"/>
      <c r="U18" s="293"/>
      <c r="V18" s="281"/>
    </row>
    <row r="19" spans="2:22" x14ac:dyDescent="0.25">
      <c r="B19" s="117" t="s">
        <v>15</v>
      </c>
      <c r="C19" s="261">
        <v>1.6</v>
      </c>
      <c r="D19" s="336">
        <f>Datos!I$13*C19%</f>
        <v>15624448.2576</v>
      </c>
      <c r="E19" s="340">
        <v>13600</v>
      </c>
      <c r="F19" s="298">
        <f t="shared" si="1"/>
        <v>1.2534804821107137</v>
      </c>
      <c r="G19" s="298">
        <f t="shared" si="2"/>
        <v>0.75208828926642823</v>
      </c>
      <c r="H19" s="339">
        <f>Datos!$K$18*'FGP TOTAL'!G19/100</f>
        <v>1202942.5349467592</v>
      </c>
      <c r="I19" s="337">
        <f>Datos!T90/Datos!Q90</f>
        <v>1.0842543598151737</v>
      </c>
      <c r="J19" s="337">
        <f t="shared" si="3"/>
        <v>4.5353288463137531</v>
      </c>
      <c r="K19" s="337">
        <f t="shared" si="4"/>
        <v>1.3605986538941259</v>
      </c>
      <c r="L19" s="340">
        <f>Datos!$K$18*'FGP TOTAL'!K19/100</f>
        <v>2176236.5098876539</v>
      </c>
      <c r="M19" s="341">
        <f t="shared" si="5"/>
        <v>3379179.0448344131</v>
      </c>
      <c r="N19" s="337">
        <f t="shared" si="6"/>
        <v>2.1126869431605542</v>
      </c>
      <c r="O19" s="337">
        <f t="shared" si="7"/>
        <v>0.47333089421379776</v>
      </c>
      <c r="P19" s="337">
        <f t="shared" si="8"/>
        <v>6.9637606884510923</v>
      </c>
      <c r="Q19" s="337">
        <f t="shared" si="9"/>
        <v>0.69637606884510928</v>
      </c>
      <c r="R19" s="340">
        <f>Q19*Datos!$K$18/100</f>
        <v>1113832.5187191397</v>
      </c>
      <c r="S19" s="417">
        <f t="shared" si="0"/>
        <v>20117459.821153555</v>
      </c>
      <c r="T19" s="293"/>
      <c r="U19" s="293"/>
      <c r="V19" s="281"/>
    </row>
    <row r="20" spans="2:22" x14ac:dyDescent="0.25">
      <c r="B20" s="117" t="s">
        <v>16</v>
      </c>
      <c r="C20" s="261">
        <v>2.84</v>
      </c>
      <c r="D20" s="336">
        <f>Datos!I$13*C20%</f>
        <v>27733395.65724</v>
      </c>
      <c r="E20" s="340">
        <v>34393</v>
      </c>
      <c r="F20" s="298">
        <f t="shared" si="1"/>
        <v>3.1699231045024834</v>
      </c>
      <c r="G20" s="298">
        <f t="shared" si="2"/>
        <v>1.90195386270149</v>
      </c>
      <c r="H20" s="339">
        <f>Datos!$K$18*'FGP TOTAL'!G20/100</f>
        <v>3042117.8385605798</v>
      </c>
      <c r="I20" s="337">
        <f>Datos!T91/Datos!Q91</f>
        <v>1.2639800062480475</v>
      </c>
      <c r="J20" s="337">
        <f t="shared" si="3"/>
        <v>5.2871034657198006</v>
      </c>
      <c r="K20" s="337">
        <f t="shared" si="4"/>
        <v>1.58613103971594</v>
      </c>
      <c r="L20" s="340">
        <f>Datos!$K$18*'FGP TOTAL'!K20/100</f>
        <v>2536968.7587273568</v>
      </c>
      <c r="M20" s="341">
        <f t="shared" si="5"/>
        <v>5579086.5972879361</v>
      </c>
      <c r="N20" s="337">
        <f t="shared" si="6"/>
        <v>3.4880849024174303</v>
      </c>
      <c r="O20" s="337">
        <f t="shared" si="7"/>
        <v>0.2866902692956087</v>
      </c>
      <c r="P20" s="337">
        <f t="shared" si="8"/>
        <v>4.217857848468368</v>
      </c>
      <c r="Q20" s="337">
        <f t="shared" si="9"/>
        <v>0.42178578484683682</v>
      </c>
      <c r="R20" s="340">
        <f>Q20*Datos!$K$18/100</f>
        <v>674633.64138145861</v>
      </c>
      <c r="S20" s="417">
        <f t="shared" si="0"/>
        <v>33987115.895909399</v>
      </c>
      <c r="T20" s="293"/>
      <c r="U20" s="293"/>
      <c r="V20" s="281"/>
    </row>
    <row r="21" spans="2:22" x14ac:dyDescent="0.25">
      <c r="B21" s="117" t="s">
        <v>17</v>
      </c>
      <c r="C21" s="261">
        <v>3.33</v>
      </c>
      <c r="D21" s="336">
        <f>Datos!I$13*C21%</f>
        <v>32518382.936130002</v>
      </c>
      <c r="E21" s="340">
        <v>23469</v>
      </c>
      <c r="F21" s="298">
        <f t="shared" si="1"/>
        <v>2.1630833407835541</v>
      </c>
      <c r="G21" s="298">
        <f t="shared" si="2"/>
        <v>1.2978500044701324</v>
      </c>
      <c r="H21" s="339">
        <f>Datos!$K$18*'FGP TOTAL'!G21/100</f>
        <v>2075871.9376959917</v>
      </c>
      <c r="I21" s="337">
        <f>Datos!T92/Datos!Q92</f>
        <v>4.0649895677934511</v>
      </c>
      <c r="J21" s="337">
        <f t="shared" si="3"/>
        <v>17.003449679391466</v>
      </c>
      <c r="K21" s="337">
        <f t="shared" si="4"/>
        <v>5.1010349038174398</v>
      </c>
      <c r="L21" s="340">
        <f>Datos!$K$18*'FGP TOTAL'!K21/100</f>
        <v>8158951.4763422599</v>
      </c>
      <c r="M21" s="341">
        <f t="shared" si="5"/>
        <v>10234823.414038252</v>
      </c>
      <c r="N21" s="337">
        <f t="shared" si="6"/>
        <v>6.3988849082875721</v>
      </c>
      <c r="O21" s="337">
        <f t="shared" si="7"/>
        <v>0.15627722866289426</v>
      </c>
      <c r="P21" s="337">
        <f t="shared" si="8"/>
        <v>2.2991890763233891</v>
      </c>
      <c r="Q21" s="337">
        <f t="shared" si="9"/>
        <v>0.22991890763233891</v>
      </c>
      <c r="R21" s="340">
        <f>Q21*Datos!$K$18/100</f>
        <v>367748.35817375296</v>
      </c>
      <c r="S21" s="417">
        <f t="shared" si="0"/>
        <v>43120954.708342008</v>
      </c>
      <c r="T21" s="293"/>
      <c r="U21" s="293"/>
      <c r="V21" s="281"/>
    </row>
    <row r="22" spans="2:22" x14ac:dyDescent="0.25">
      <c r="B22" s="117" t="s">
        <v>18</v>
      </c>
      <c r="C22" s="261">
        <v>4.6900000000000004</v>
      </c>
      <c r="D22" s="336">
        <f>Datos!I$13*C22%</f>
        <v>45799163.955090009</v>
      </c>
      <c r="E22" s="340">
        <v>43120</v>
      </c>
      <c r="F22" s="298">
        <f t="shared" si="1"/>
        <v>3.9742704697510276</v>
      </c>
      <c r="G22" s="298">
        <f t="shared" si="2"/>
        <v>2.3845622818506165</v>
      </c>
      <c r="H22" s="339">
        <f>Datos!$K$18*'FGP TOTAL'!G22/100</f>
        <v>3814035.4490370774</v>
      </c>
      <c r="I22" s="337">
        <f>Datos!T93/Datos!Q93</f>
        <v>1.2457536299856951</v>
      </c>
      <c r="J22" s="337">
        <f t="shared" si="3"/>
        <v>5.2108643348570878</v>
      </c>
      <c r="K22" s="337">
        <f t="shared" si="4"/>
        <v>1.5632593004571262</v>
      </c>
      <c r="L22" s="340">
        <f>Datos!$K$18*'FGP TOTAL'!K22/100</f>
        <v>2500386.1016174122</v>
      </c>
      <c r="M22" s="341">
        <f t="shared" si="5"/>
        <v>6314421.5506544895</v>
      </c>
      <c r="N22" s="337">
        <f t="shared" si="6"/>
        <v>3.9478215823077427</v>
      </c>
      <c r="O22" s="337">
        <f t="shared" si="7"/>
        <v>0.25330425378936172</v>
      </c>
      <c r="P22" s="337">
        <f t="shared" si="8"/>
        <v>3.7266745659729561</v>
      </c>
      <c r="Q22" s="337">
        <f t="shared" si="9"/>
        <v>0.37266745659729561</v>
      </c>
      <c r="R22" s="340">
        <f>Q22*Datos!$K$18/100</f>
        <v>596070.35680421581</v>
      </c>
      <c r="S22" s="417">
        <f t="shared" si="0"/>
        <v>52709655.862548709</v>
      </c>
      <c r="T22" s="293"/>
      <c r="U22" s="293"/>
      <c r="V22" s="281"/>
    </row>
    <row r="23" spans="2:22" x14ac:dyDescent="0.25">
      <c r="B23" s="117" t="s">
        <v>19</v>
      </c>
      <c r="C23" s="261">
        <v>2.13</v>
      </c>
      <c r="D23" s="336">
        <f>Datos!I$13*C23%</f>
        <v>20800046.742929999</v>
      </c>
      <c r="E23" s="340">
        <v>7510</v>
      </c>
      <c r="F23" s="298">
        <f t="shared" si="1"/>
        <v>0.69217929563613667</v>
      </c>
      <c r="G23" s="298">
        <f t="shared" si="2"/>
        <v>0.415307577381682</v>
      </c>
      <c r="H23" s="339">
        <f>Datos!$K$18*'FGP TOTAL'!G23/100</f>
        <v>664271.94393015886</v>
      </c>
      <c r="I23" s="337">
        <f>Datos!T94/Datos!Q94</f>
        <v>1.1462909613883416</v>
      </c>
      <c r="J23" s="337">
        <f t="shared" si="3"/>
        <v>4.7948218205361703</v>
      </c>
      <c r="K23" s="337">
        <f t="shared" si="4"/>
        <v>1.4384465461608511</v>
      </c>
      <c r="L23" s="340">
        <f>Datos!$K$18*'FGP TOTAL'!K23/100</f>
        <v>2300751.8655980024</v>
      </c>
      <c r="M23" s="341">
        <f t="shared" si="5"/>
        <v>2965023.8095281613</v>
      </c>
      <c r="N23" s="337">
        <f t="shared" si="6"/>
        <v>1.853754123542533</v>
      </c>
      <c r="O23" s="337">
        <f t="shared" si="7"/>
        <v>0.53944586679542761</v>
      </c>
      <c r="P23" s="337">
        <f t="shared" si="8"/>
        <v>7.9364604479855192</v>
      </c>
      <c r="Q23" s="337">
        <f t="shared" si="9"/>
        <v>0.79364604479855194</v>
      </c>
      <c r="R23" s="340">
        <f>Q23*Datos!$K$18/100</f>
        <v>1269412.9114969266</v>
      </c>
      <c r="S23" s="417">
        <f t="shared" si="0"/>
        <v>25034483.463955086</v>
      </c>
      <c r="T23" s="293"/>
      <c r="U23" s="293"/>
      <c r="V23" s="281"/>
    </row>
    <row r="24" spans="2:22" x14ac:dyDescent="0.25">
      <c r="B24" s="117" t="s">
        <v>20</v>
      </c>
      <c r="C24" s="261">
        <v>2.81</v>
      </c>
      <c r="D24" s="336">
        <f>Datos!I$13*C24%</f>
        <v>27440437.252410002</v>
      </c>
      <c r="E24" s="340">
        <v>22412</v>
      </c>
      <c r="F24" s="298">
        <f t="shared" si="1"/>
        <v>2.0656621003724496</v>
      </c>
      <c r="G24" s="298">
        <f t="shared" si="2"/>
        <v>1.2393972602234697</v>
      </c>
      <c r="H24" s="339">
        <f>Datos!$K$18*'FGP TOTAL'!G24/100</f>
        <v>1982378.5362666741</v>
      </c>
      <c r="I24" s="337">
        <f>Datos!T95/Datos!Q95</f>
        <v>1.156785809335273</v>
      </c>
      <c r="J24" s="337">
        <f t="shared" si="3"/>
        <v>4.8387207324478618</v>
      </c>
      <c r="K24" s="337">
        <f t="shared" si="4"/>
        <v>1.4516162197343585</v>
      </c>
      <c r="L24" s="340">
        <f>Datos!$K$18*'FGP TOTAL'!K24/100</f>
        <v>2321816.3612683029</v>
      </c>
      <c r="M24" s="341">
        <f t="shared" si="5"/>
        <v>4304194.8975349767</v>
      </c>
      <c r="N24" s="337">
        <f t="shared" si="6"/>
        <v>2.691013479957828</v>
      </c>
      <c r="O24" s="337">
        <f t="shared" si="7"/>
        <v>0.37160720577872075</v>
      </c>
      <c r="P24" s="337">
        <f t="shared" si="8"/>
        <v>5.4671767315026374</v>
      </c>
      <c r="Q24" s="337">
        <f t="shared" si="9"/>
        <v>0.54671767315026376</v>
      </c>
      <c r="R24" s="340">
        <f>Q24*Datos!$K$18/100</f>
        <v>874458.42865210678</v>
      </c>
      <c r="S24" s="417">
        <f t="shared" si="0"/>
        <v>32619090.578597087</v>
      </c>
      <c r="T24" s="293"/>
      <c r="U24" s="293"/>
      <c r="V24" s="281"/>
    </row>
    <row r="25" spans="2:22" x14ac:dyDescent="0.25">
      <c r="B25" s="117" t="s">
        <v>27</v>
      </c>
      <c r="C25" s="261">
        <v>8.34</v>
      </c>
      <c r="D25" s="336">
        <f>Datos!I$13*C25%</f>
        <v>81442436.542740002</v>
      </c>
      <c r="E25" s="340">
        <v>93074</v>
      </c>
      <c r="F25" s="298">
        <f t="shared" si="1"/>
        <v>8.5784148817626882</v>
      </c>
      <c r="G25" s="298">
        <f t="shared" si="2"/>
        <v>5.1470489290576129</v>
      </c>
      <c r="H25" s="339">
        <f>Datos!$K$18*'FGP TOTAL'!G25/100</f>
        <v>8232549.5218849014</v>
      </c>
      <c r="I25" s="337">
        <f>Datos!T96/Datos!Q96</f>
        <v>0.88356891045239216</v>
      </c>
      <c r="J25" s="337">
        <f t="shared" si="3"/>
        <v>3.695881442398667</v>
      </c>
      <c r="K25" s="337">
        <f t="shared" si="4"/>
        <v>1.1087644327196</v>
      </c>
      <c r="L25" s="340">
        <f>Datos!$K$18*'FGP TOTAL'!K25/100</f>
        <v>1773435.2686909446</v>
      </c>
      <c r="M25" s="341">
        <f t="shared" si="5"/>
        <v>10005984.790575847</v>
      </c>
      <c r="N25" s="337">
        <f t="shared" si="6"/>
        <v>6.2558133617772125</v>
      </c>
      <c r="O25" s="337">
        <f t="shared" si="7"/>
        <v>0.15985131623490606</v>
      </c>
      <c r="P25" s="337">
        <f t="shared" si="8"/>
        <v>2.3517719329154949</v>
      </c>
      <c r="Q25" s="337">
        <f t="shared" si="9"/>
        <v>0.23517719329154951</v>
      </c>
      <c r="R25" s="340">
        <f>Q25*Datos!$K$18/100</f>
        <v>376158.82749050652</v>
      </c>
      <c r="S25" s="417">
        <f t="shared" si="0"/>
        <v>91824580.160806358</v>
      </c>
      <c r="T25" s="293"/>
      <c r="U25" s="293"/>
      <c r="V25" s="281"/>
    </row>
    <row r="26" spans="2:22" x14ac:dyDescent="0.25">
      <c r="B26" s="117" t="s">
        <v>21</v>
      </c>
      <c r="C26" s="261">
        <v>3.5</v>
      </c>
      <c r="D26" s="336">
        <f>Datos!I$13*C26%</f>
        <v>34178480.563500002</v>
      </c>
      <c r="E26" s="340">
        <v>39756</v>
      </c>
      <c r="F26" s="298">
        <f t="shared" si="1"/>
        <v>3.6642183857936419</v>
      </c>
      <c r="G26" s="298">
        <f t="shared" si="2"/>
        <v>2.1985310314761852</v>
      </c>
      <c r="H26" s="339">
        <f>Datos!$K$18*'FGP TOTAL'!G26/100</f>
        <v>3516484.0749517172</v>
      </c>
      <c r="I26" s="337">
        <f>Datos!T97/Datos!Q97</f>
        <v>1.31060351782108</v>
      </c>
      <c r="J26" s="337">
        <f t="shared" si="3"/>
        <v>5.4821250075189605</v>
      </c>
      <c r="K26" s="337">
        <f t="shared" si="4"/>
        <v>1.6446375022556881</v>
      </c>
      <c r="L26" s="340">
        <f>Datos!$K$18*'FGP TOTAL'!K26/100</f>
        <v>2630548.0809462671</v>
      </c>
      <c r="M26" s="341">
        <f t="shared" si="5"/>
        <v>6147032.1558979843</v>
      </c>
      <c r="N26" s="337">
        <f t="shared" si="6"/>
        <v>3.8431685337318733</v>
      </c>
      <c r="O26" s="337">
        <f t="shared" si="7"/>
        <v>0.26020196388029831</v>
      </c>
      <c r="P26" s="337">
        <f t="shared" si="8"/>
        <v>3.8281553756111717</v>
      </c>
      <c r="Q26" s="337">
        <f t="shared" si="9"/>
        <v>0.38281553756111719</v>
      </c>
      <c r="R26" s="340">
        <f>Q26*Datos!$K$18/100</f>
        <v>612301.90622957842</v>
      </c>
      <c r="S26" s="417">
        <f t="shared" si="0"/>
        <v>40937814.625627562</v>
      </c>
      <c r="T26" s="293"/>
      <c r="U26" s="293"/>
      <c r="V26" s="281"/>
    </row>
    <row r="27" spans="2:22" x14ac:dyDescent="0.25">
      <c r="B27" s="117" t="s">
        <v>22</v>
      </c>
      <c r="C27" s="261">
        <v>39</v>
      </c>
      <c r="D27" s="336">
        <f>Datos!I$13*C27%</f>
        <v>380845926.27900004</v>
      </c>
      <c r="E27" s="340">
        <v>380249</v>
      </c>
      <c r="F27" s="298">
        <f t="shared" si="1"/>
        <v>35.046669106037996</v>
      </c>
      <c r="G27" s="298">
        <f t="shared" si="2"/>
        <v>21.028001463622797</v>
      </c>
      <c r="H27" s="339">
        <f>Datos!$K$18*'FGP TOTAL'!G27/100</f>
        <v>33633654.115512513</v>
      </c>
      <c r="I27" s="337">
        <f>Datos!T98/Datos!Q98</f>
        <v>1.3445328805514702</v>
      </c>
      <c r="J27" s="337">
        <f t="shared" si="3"/>
        <v>5.6240481790839914</v>
      </c>
      <c r="K27" s="337">
        <f t="shared" si="4"/>
        <v>1.6872144537251974</v>
      </c>
      <c r="L27" s="340">
        <f>Datos!$K$18*'FGP TOTAL'!K27/100</f>
        <v>2698648.6306583141</v>
      </c>
      <c r="M27" s="341">
        <f t="shared" si="5"/>
        <v>36332302.746170826</v>
      </c>
      <c r="N27" s="337">
        <f t="shared" si="6"/>
        <v>22.715215917347994</v>
      </c>
      <c r="O27" s="337">
        <f t="shared" si="7"/>
        <v>4.4023354373500939E-2</v>
      </c>
      <c r="P27" s="337">
        <f t="shared" si="8"/>
        <v>0.64768243169325923</v>
      </c>
      <c r="Q27" s="337">
        <f t="shared" si="9"/>
        <v>6.4768243169325931E-2</v>
      </c>
      <c r="R27" s="340">
        <f>Q27*Datos!$K$18/100</f>
        <v>103594.85147435458</v>
      </c>
      <c r="S27" s="417">
        <f t="shared" si="0"/>
        <v>417281823.87664521</v>
      </c>
      <c r="T27" s="293"/>
      <c r="U27" s="293"/>
      <c r="V27" s="281"/>
    </row>
    <row r="28" spans="2:22" x14ac:dyDescent="0.25">
      <c r="B28" s="117" t="s">
        <v>23</v>
      </c>
      <c r="C28" s="261">
        <v>3.79</v>
      </c>
      <c r="D28" s="336">
        <f>Datos!I$13*C28%</f>
        <v>37010411.810190007</v>
      </c>
      <c r="E28" s="340">
        <v>30030</v>
      </c>
      <c r="F28" s="298">
        <f t="shared" si="1"/>
        <v>2.7677955057194654</v>
      </c>
      <c r="G28" s="298">
        <f t="shared" si="2"/>
        <v>1.6606773034316793</v>
      </c>
      <c r="H28" s="339">
        <f>Datos!$K$18*'FGP TOTAL'!G28/100</f>
        <v>2656203.2591508217</v>
      </c>
      <c r="I28" s="337">
        <f>Datos!T99/Datos!Q99</f>
        <v>0.4729166036513246</v>
      </c>
      <c r="J28" s="337">
        <f t="shared" si="3"/>
        <v>1.9781634217326987</v>
      </c>
      <c r="K28" s="337">
        <f t="shared" si="4"/>
        <v>0.59344902651980957</v>
      </c>
      <c r="L28" s="340">
        <f>Datos!$K$18*'FGP TOTAL'!K28/100</f>
        <v>949203.81890234631</v>
      </c>
      <c r="M28" s="341">
        <f t="shared" si="5"/>
        <v>3605407.078053168</v>
      </c>
      <c r="N28" s="337">
        <f t="shared" si="6"/>
        <v>2.2541263299514886</v>
      </c>
      <c r="O28" s="337">
        <f t="shared" si="7"/>
        <v>0.44363085897742083</v>
      </c>
      <c r="P28" s="337">
        <f t="shared" si="8"/>
        <v>6.5268064554758114</v>
      </c>
      <c r="Q28" s="337">
        <f t="shared" si="9"/>
        <v>0.65268064554758121</v>
      </c>
      <c r="R28" s="340">
        <f>Q28*Datos!$K$18/100</f>
        <v>1043943.0070524056</v>
      </c>
      <c r="S28" s="417">
        <f t="shared" si="0"/>
        <v>41659761.895295575</v>
      </c>
      <c r="T28" s="293"/>
      <c r="U28" s="293"/>
      <c r="V28" s="281"/>
    </row>
    <row r="29" spans="2:22" ht="15.75" thickBot="1" x14ac:dyDescent="0.3">
      <c r="B29" s="118" t="s">
        <v>24</v>
      </c>
      <c r="C29" s="495">
        <v>3.1</v>
      </c>
      <c r="D29" s="496">
        <f>Datos!I$13*C29%</f>
        <v>30272368.4991</v>
      </c>
      <c r="E29" s="498">
        <v>49102</v>
      </c>
      <c r="F29" s="499">
        <f t="shared" si="1"/>
        <v>4.5256175465147246</v>
      </c>
      <c r="G29" s="499">
        <f t="shared" si="2"/>
        <v>2.7153705279088345</v>
      </c>
      <c r="H29" s="500">
        <f>Datos!$K$18*'FGP TOTAL'!G29/100</f>
        <v>4343153.2610996878</v>
      </c>
      <c r="I29" s="497">
        <f>Datos!T100/Datos!Q100</f>
        <v>1.1269533702320167</v>
      </c>
      <c r="J29" s="497">
        <f t="shared" si="3"/>
        <v>4.7139345875768743</v>
      </c>
      <c r="K29" s="497">
        <f t="shared" si="4"/>
        <v>1.4141803762730623</v>
      </c>
      <c r="L29" s="498">
        <f>Datos!$K$18*'FGP TOTAL'!K29/100</f>
        <v>2261938.8587544342</v>
      </c>
      <c r="M29" s="501">
        <f t="shared" si="5"/>
        <v>6605092.1198541224</v>
      </c>
      <c r="N29" s="497">
        <f t="shared" si="6"/>
        <v>4.1295509041818965</v>
      </c>
      <c r="O29" s="497">
        <f t="shared" si="7"/>
        <v>0.24215708274411246</v>
      </c>
      <c r="P29" s="497">
        <f t="shared" si="8"/>
        <v>3.5626746402100626</v>
      </c>
      <c r="Q29" s="497">
        <f t="shared" si="9"/>
        <v>0.35626746402100629</v>
      </c>
      <c r="R29" s="498">
        <f>Q29*Datos!$K$18/100</f>
        <v>569839.06331861718</v>
      </c>
      <c r="S29" s="502">
        <f t="shared" si="0"/>
        <v>37447299.68227274</v>
      </c>
      <c r="T29" s="293"/>
      <c r="U29" s="293"/>
      <c r="V29" s="281"/>
    </row>
    <row r="30" spans="2:22" ht="15.75" thickBot="1" x14ac:dyDescent="0.3">
      <c r="B30" s="254" t="s">
        <v>25</v>
      </c>
      <c r="C30" s="477">
        <f>SUM(C10:C29)</f>
        <v>100</v>
      </c>
      <c r="D30" s="478">
        <f>SUM(D10:D29)</f>
        <v>976528016.0999999</v>
      </c>
      <c r="E30" s="479">
        <f>SUM(E10:E29)</f>
        <v>1084979</v>
      </c>
      <c r="F30" s="563">
        <f>SUM(F10:F29)</f>
        <v>99.999999999999986</v>
      </c>
      <c r="G30" s="563">
        <f t="shared" ref="G30:L30" si="10">SUM(G10:G29)</f>
        <v>59.999999999999993</v>
      </c>
      <c r="H30" s="282">
        <f t="shared" si="10"/>
        <v>95968190.339999974</v>
      </c>
      <c r="I30" s="480">
        <f t="shared" si="10"/>
        <v>23.906852106136455</v>
      </c>
      <c r="J30" s="564">
        <f t="shared" si="10"/>
        <v>100.00000000000001</v>
      </c>
      <c r="K30" s="564">
        <f t="shared" si="10"/>
        <v>30</v>
      </c>
      <c r="L30" s="481">
        <f t="shared" si="10"/>
        <v>47984095.169999987</v>
      </c>
      <c r="M30" s="482">
        <f t="shared" si="5"/>
        <v>143952285.50999996</v>
      </c>
      <c r="N30" s="483">
        <f t="shared" ref="N30:S30" si="11">SUM(N10:N29)</f>
        <v>89.999999999999986</v>
      </c>
      <c r="O30" s="483">
        <f t="shared" si="11"/>
        <v>6.7970585921883231</v>
      </c>
      <c r="P30" s="483">
        <f t="shared" si="11"/>
        <v>99.999999999999957</v>
      </c>
      <c r="Q30" s="484">
        <f t="shared" si="11"/>
        <v>9.9999999999999964</v>
      </c>
      <c r="R30" s="485">
        <f t="shared" si="11"/>
        <v>15994698.389999991</v>
      </c>
      <c r="S30" s="486">
        <f t="shared" si="11"/>
        <v>1136474999.9999998</v>
      </c>
      <c r="T30" s="293"/>
      <c r="U30" s="293"/>
      <c r="V30" s="281"/>
    </row>
    <row r="31" spans="2:22" x14ac:dyDescent="0.25">
      <c r="B31" s="318" t="s">
        <v>26</v>
      </c>
      <c r="C31" s="23"/>
      <c r="D31" s="2"/>
      <c r="E31" s="2"/>
      <c r="F31" s="2"/>
      <c r="G31" s="2"/>
      <c r="H31" s="3"/>
    </row>
    <row r="32" spans="2:22" x14ac:dyDescent="0.25">
      <c r="B32" s="2"/>
      <c r="C32" s="2"/>
      <c r="D32" s="2"/>
      <c r="E32" s="2"/>
      <c r="F32" s="2"/>
      <c r="G32" s="2"/>
      <c r="H32" s="3"/>
      <c r="S32" s="257"/>
    </row>
  </sheetData>
  <mergeCells count="11">
    <mergeCell ref="I6:I8"/>
    <mergeCell ref="B3:S3"/>
    <mergeCell ref="B4:S4"/>
    <mergeCell ref="C5:C7"/>
    <mergeCell ref="B5:B9"/>
    <mergeCell ref="N6:N9"/>
    <mergeCell ref="M5:M9"/>
    <mergeCell ref="N5:R5"/>
    <mergeCell ref="J6:J7"/>
    <mergeCell ref="I5:L5"/>
    <mergeCell ref="L6:L7"/>
  </mergeCells>
  <pageMargins left="0.25" right="0.70866141732283472" top="0.74803149606299213" bottom="0.74803149606299213" header="0.31496062992125984" footer="0.31496062992125984"/>
  <pageSetup paperSize="5" scale="71" orientation="landscape" r:id="rId1"/>
  <ignoredErrors>
    <ignoredError sqref="C9 E9:F9 D8:D9 G9:I9 K9:L9 Q9:R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2:W81"/>
  <sheetViews>
    <sheetView zoomScale="80" zoomScaleNormal="80" workbookViewId="0">
      <selection activeCell="G71" sqref="G71"/>
    </sheetView>
  </sheetViews>
  <sheetFormatPr baseColWidth="10" defaultRowHeight="15" x14ac:dyDescent="0.25"/>
  <cols>
    <col min="1" max="1" width="3.7109375" customWidth="1"/>
    <col min="2" max="2" width="3.5703125" style="69" customWidth="1"/>
    <col min="3" max="3" width="22.42578125" customWidth="1"/>
    <col min="4" max="4" width="14.140625" style="24" customWidth="1"/>
    <col min="5" max="5" width="16.5703125" customWidth="1"/>
    <col min="6" max="6" width="13.85546875" customWidth="1"/>
    <col min="7" max="7" width="15.28515625" bestFit="1" customWidth="1"/>
    <col min="8" max="8" width="16.5703125" style="54" bestFit="1" customWidth="1"/>
    <col min="9" max="9" width="16.5703125" customWidth="1"/>
    <col min="10" max="10" width="16.140625" customWidth="1"/>
    <col min="11" max="11" width="18.140625" style="54" customWidth="1"/>
    <col min="12" max="12" width="14.28515625" customWidth="1"/>
    <col min="13" max="13" width="13.140625" customWidth="1"/>
    <col min="14" max="14" width="15.5703125" style="54" customWidth="1"/>
    <col min="15" max="15" width="18.7109375" customWidth="1"/>
    <col min="16" max="16" width="17.7109375" customWidth="1"/>
    <col min="17" max="18" width="0" hidden="1" customWidth="1"/>
    <col min="20" max="20" width="13.5703125" bestFit="1" customWidth="1"/>
    <col min="21" max="21" width="16.28515625" bestFit="1" customWidth="1"/>
    <col min="22" max="22" width="14.5703125" bestFit="1" customWidth="1"/>
    <col min="23" max="23" width="14.28515625" bestFit="1" customWidth="1"/>
  </cols>
  <sheetData>
    <row r="2" spans="2:23" x14ac:dyDescent="0.25">
      <c r="C2" s="2"/>
      <c r="D2" s="23"/>
      <c r="E2" s="2"/>
      <c r="F2" s="2"/>
      <c r="G2" s="2"/>
      <c r="H2" s="53"/>
      <c r="I2" s="2"/>
      <c r="J2" s="2"/>
      <c r="K2" s="53"/>
      <c r="L2" s="2"/>
      <c r="M2" s="2"/>
      <c r="N2" s="53"/>
      <c r="O2" s="2"/>
      <c r="P2" s="507"/>
    </row>
    <row r="3" spans="2:23" x14ac:dyDescent="0.25"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</row>
    <row r="4" spans="2:23" ht="15" customHeight="1" x14ac:dyDescent="0.25">
      <c r="B4" s="759" t="s">
        <v>110</v>
      </c>
      <c r="C4" s="765" t="s">
        <v>123</v>
      </c>
      <c r="D4" s="765"/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4" t="s">
        <v>66</v>
      </c>
    </row>
    <row r="5" spans="2:23" ht="15" customHeight="1" x14ac:dyDescent="0.25">
      <c r="B5" s="759"/>
      <c r="C5" s="765" t="s">
        <v>325</v>
      </c>
      <c r="D5" s="668" t="s">
        <v>69</v>
      </c>
      <c r="E5" s="761"/>
      <c r="F5" s="668" t="s">
        <v>107</v>
      </c>
      <c r="G5" s="761"/>
      <c r="H5" s="668" t="s">
        <v>244</v>
      </c>
      <c r="I5" s="774"/>
      <c r="J5" s="774"/>
      <c r="K5" s="774"/>
      <c r="L5" s="774"/>
      <c r="M5" s="774"/>
      <c r="N5" s="774"/>
      <c r="O5" s="774"/>
      <c r="P5" s="5" t="s">
        <v>124</v>
      </c>
    </row>
    <row r="6" spans="2:23" x14ac:dyDescent="0.25">
      <c r="B6" s="759"/>
      <c r="C6" s="766"/>
      <c r="D6" s="5" t="s">
        <v>62</v>
      </c>
      <c r="E6" s="350" t="s">
        <v>128</v>
      </c>
      <c r="F6" s="503" t="s">
        <v>85</v>
      </c>
      <c r="G6" s="4" t="s">
        <v>108</v>
      </c>
      <c r="H6" s="376" t="s">
        <v>63</v>
      </c>
      <c r="I6" s="768" t="s">
        <v>328</v>
      </c>
      <c r="J6" s="769"/>
      <c r="K6" s="60" t="s">
        <v>329</v>
      </c>
      <c r="L6" s="768" t="s">
        <v>330</v>
      </c>
      <c r="M6" s="769"/>
      <c r="N6" s="506" t="s">
        <v>329</v>
      </c>
      <c r="O6" s="51" t="s">
        <v>331</v>
      </c>
      <c r="P6" s="5" t="s">
        <v>125</v>
      </c>
    </row>
    <row r="7" spans="2:23" x14ac:dyDescent="0.25">
      <c r="B7" s="759"/>
      <c r="C7" s="766"/>
      <c r="D7" s="5" t="s">
        <v>63</v>
      </c>
      <c r="E7" s="350" t="s">
        <v>129</v>
      </c>
      <c r="F7" s="77" t="s">
        <v>326</v>
      </c>
      <c r="G7" s="5" t="s">
        <v>90</v>
      </c>
      <c r="H7" s="61" t="s">
        <v>327</v>
      </c>
      <c r="I7" s="770">
        <v>2015</v>
      </c>
      <c r="J7" s="771"/>
      <c r="K7" s="61" t="s">
        <v>118</v>
      </c>
      <c r="L7" s="772">
        <v>2015</v>
      </c>
      <c r="M7" s="773"/>
      <c r="N7" s="62" t="s">
        <v>119</v>
      </c>
      <c r="O7" s="44" t="s">
        <v>121</v>
      </c>
      <c r="P7" s="5" t="s">
        <v>126</v>
      </c>
    </row>
    <row r="8" spans="2:23" x14ac:dyDescent="0.25">
      <c r="B8" s="759"/>
      <c r="C8" s="766"/>
      <c r="D8" s="6">
        <v>2014</v>
      </c>
      <c r="E8" s="73" t="s">
        <v>61</v>
      </c>
      <c r="F8" s="504" t="s">
        <v>109</v>
      </c>
      <c r="G8" s="6"/>
      <c r="H8" s="56" t="s">
        <v>120</v>
      </c>
      <c r="I8" s="6" t="s">
        <v>117</v>
      </c>
      <c r="J8" s="6" t="s">
        <v>108</v>
      </c>
      <c r="K8" s="56" t="s">
        <v>120</v>
      </c>
      <c r="L8" s="20" t="s">
        <v>117</v>
      </c>
      <c r="M8" s="20" t="s">
        <v>108</v>
      </c>
      <c r="N8" s="63" t="s">
        <v>89</v>
      </c>
      <c r="O8" s="67" t="s">
        <v>122</v>
      </c>
      <c r="P8" s="52">
        <v>2017</v>
      </c>
    </row>
    <row r="9" spans="2:23" x14ac:dyDescent="0.25">
      <c r="B9" s="759"/>
      <c r="C9" s="767"/>
      <c r="D9" s="50" t="s">
        <v>4</v>
      </c>
      <c r="E9" s="68" t="s">
        <v>5</v>
      </c>
      <c r="F9" s="505" t="s">
        <v>30</v>
      </c>
      <c r="G9" s="50" t="s">
        <v>28</v>
      </c>
      <c r="H9" s="57" t="s">
        <v>130</v>
      </c>
      <c r="I9" s="68" t="s">
        <v>105</v>
      </c>
      <c r="J9" s="50" t="s">
        <v>114</v>
      </c>
      <c r="K9" s="306" t="s">
        <v>131</v>
      </c>
      <c r="L9" s="50" t="s">
        <v>115</v>
      </c>
      <c r="M9" s="50" t="s">
        <v>116</v>
      </c>
      <c r="N9" s="57" t="s">
        <v>132</v>
      </c>
      <c r="O9" s="68" t="s">
        <v>133</v>
      </c>
      <c r="P9" s="43" t="s">
        <v>127</v>
      </c>
    </row>
    <row r="10" spans="2:23" x14ac:dyDescent="0.25">
      <c r="B10" s="27" t="s">
        <v>112</v>
      </c>
      <c r="C10" s="311" t="s">
        <v>6</v>
      </c>
      <c r="D10" s="371">
        <v>3.62</v>
      </c>
      <c r="E10" s="9">
        <f>Datos!K$23*FFM!D10%</f>
        <v>15655542.292800002</v>
      </c>
      <c r="F10" s="379">
        <v>36572</v>
      </c>
      <c r="G10" s="576">
        <f>F10/F$30*100</f>
        <v>3.3707564846877225</v>
      </c>
      <c r="H10" s="377">
        <f>((Datos!K$24*0.7)*(0.5))*G10%</f>
        <v>395533.31639709155</v>
      </c>
      <c r="I10" s="372">
        <f>Datos!T81</f>
        <v>9840850</v>
      </c>
      <c r="J10" s="578">
        <f>I10/I$30*100</f>
        <v>1.7082934235061225</v>
      </c>
      <c r="K10" s="66">
        <f>((Datos!K$24*0.7)*(0.5))*FFM!J10%</f>
        <v>200455.58504393583</v>
      </c>
      <c r="L10" s="342">
        <v>0</v>
      </c>
      <c r="M10" s="198">
        <v>0</v>
      </c>
      <c r="N10" s="289">
        <f>(Datos!K$24-FFM!H$30-FFM!K$30)*FFM!M10%</f>
        <v>0</v>
      </c>
      <c r="O10" s="288">
        <f>H10+K10+N10</f>
        <v>595988.90144102741</v>
      </c>
      <c r="P10" s="286">
        <f>E10+O10</f>
        <v>16251531.194241028</v>
      </c>
      <c r="Q10" s="281">
        <f>G10+J10</f>
        <v>5.0790499081938449</v>
      </c>
      <c r="R10" s="293">
        <f>Q10/2</f>
        <v>2.5395249540969225</v>
      </c>
      <c r="U10" s="82"/>
      <c r="V10" s="82"/>
      <c r="W10" s="82"/>
    </row>
    <row r="11" spans="2:23" x14ac:dyDescent="0.25">
      <c r="B11" s="27" t="s">
        <v>112</v>
      </c>
      <c r="C11" s="79" t="s">
        <v>7</v>
      </c>
      <c r="D11" s="373">
        <v>2.4700000000000002</v>
      </c>
      <c r="E11" s="12">
        <f>Datos!K$23*FFM!D11%</f>
        <v>10682096.536800001</v>
      </c>
      <c r="F11" s="380">
        <v>15229</v>
      </c>
      <c r="G11" s="577">
        <f t="shared" ref="G11:G30" si="0">F11/F$30*100</f>
        <v>1.4036216369164749</v>
      </c>
      <c r="H11" s="378">
        <f>((Datos!K$24*0.7)*(0.5))*G11%</f>
        <v>164704.60667754861</v>
      </c>
      <c r="I11" s="374">
        <f>Datos!T82</f>
        <v>3790321</v>
      </c>
      <c r="J11" s="578">
        <f t="shared" ref="J11:J29" si="1">I11/I$30*100</f>
        <v>0.65796963039545864</v>
      </c>
      <c r="K11" s="66">
        <f>((Datos!K$24*0.7)*(0.5))*FFM!J11%</f>
        <v>77207.864519763622</v>
      </c>
      <c r="L11" s="342">
        <v>0</v>
      </c>
      <c r="M11" s="198">
        <v>0</v>
      </c>
      <c r="N11" s="289">
        <f>(Datos!K$24-FFM!H$30-FFM!K$30)*FFM!M11%</f>
        <v>0</v>
      </c>
      <c r="O11" s="288">
        <f t="shared" ref="O11:O29" si="2">H11+K11+N11</f>
        <v>241912.47119731223</v>
      </c>
      <c r="P11" s="287">
        <f t="shared" ref="P11:P29" si="3">E11+O11</f>
        <v>10924009.007997314</v>
      </c>
      <c r="Q11" s="281">
        <f t="shared" ref="Q11:Q30" si="4">G11+J11</f>
        <v>2.0615912673119334</v>
      </c>
      <c r="R11" s="293">
        <f t="shared" ref="R11:R30" si="5">Q11/2</f>
        <v>1.0307956336559667</v>
      </c>
      <c r="U11" s="82"/>
      <c r="V11" s="82"/>
      <c r="W11" s="82"/>
    </row>
    <row r="12" spans="2:23" x14ac:dyDescent="0.25">
      <c r="B12" s="27" t="s">
        <v>112</v>
      </c>
      <c r="C12" s="79" t="s">
        <v>8</v>
      </c>
      <c r="D12" s="373">
        <v>2.33</v>
      </c>
      <c r="E12" s="12">
        <f>Datos!K$23*FFM!D12%</f>
        <v>10076633.575200001</v>
      </c>
      <c r="F12" s="381">
        <v>11188</v>
      </c>
      <c r="G12" s="577">
        <f t="shared" si="0"/>
        <v>1.0311720319010782</v>
      </c>
      <c r="H12" s="378">
        <f>((Datos!K$24*0.7)*(0.5))*G12%</f>
        <v>121000.40314586731</v>
      </c>
      <c r="I12" s="374">
        <f>Datos!T83</f>
        <v>3689187</v>
      </c>
      <c r="J12" s="578">
        <f t="shared" si="1"/>
        <v>0.64041357100090757</v>
      </c>
      <c r="K12" s="66">
        <f>((Datos!K$24*0.7)*(0.5))*FFM!J12%</f>
        <v>75147.790934876815</v>
      </c>
      <c r="L12" s="342">
        <v>0</v>
      </c>
      <c r="M12" s="198">
        <v>0</v>
      </c>
      <c r="N12" s="289">
        <f>(Datos!K$24-FFM!H$30-FFM!K$30)*FFM!M12%</f>
        <v>0</v>
      </c>
      <c r="O12" s="288">
        <f t="shared" si="2"/>
        <v>196148.19408074411</v>
      </c>
      <c r="P12" s="287">
        <f t="shared" si="3"/>
        <v>10272781.769280745</v>
      </c>
      <c r="Q12" s="281">
        <f t="shared" si="4"/>
        <v>1.6715856029019858</v>
      </c>
      <c r="R12" s="293">
        <f t="shared" si="5"/>
        <v>0.83579280145099288</v>
      </c>
      <c r="U12" s="82"/>
      <c r="V12" s="82"/>
      <c r="W12" s="82"/>
    </row>
    <row r="13" spans="2:23" x14ac:dyDescent="0.25">
      <c r="B13" s="27" t="s">
        <v>112</v>
      </c>
      <c r="C13" s="79" t="s">
        <v>9</v>
      </c>
      <c r="D13" s="373">
        <v>2.81</v>
      </c>
      <c r="E13" s="12">
        <f>Datos!K$23*FFM!D13%</f>
        <v>12152506.5864</v>
      </c>
      <c r="F13" s="381">
        <v>124205</v>
      </c>
      <c r="G13" s="577">
        <f t="shared" si="0"/>
        <v>11.447687005923617</v>
      </c>
      <c r="H13" s="378">
        <f>((Datos!K$24*0.7)*(0.5))*G13%</f>
        <v>1343301.3114705447</v>
      </c>
      <c r="I13" s="374">
        <f>Datos!T84</f>
        <v>200100586</v>
      </c>
      <c r="J13" s="578">
        <f t="shared" si="1"/>
        <v>34.735872928001264</v>
      </c>
      <c r="K13" s="66">
        <f>((Datos!K$24*0.7)*(0.5))*FFM!J13%</f>
        <v>4075997.5036977893</v>
      </c>
      <c r="L13" s="342">
        <v>0</v>
      </c>
      <c r="M13" s="198">
        <v>0</v>
      </c>
      <c r="N13" s="289">
        <f>(Datos!K$24-FFM!H$30-FFM!K$30)*FFM!M13%</f>
        <v>0</v>
      </c>
      <c r="O13" s="288">
        <f t="shared" si="2"/>
        <v>5419298.8151683342</v>
      </c>
      <c r="P13" s="287">
        <f t="shared" si="3"/>
        <v>17571805.401568335</v>
      </c>
      <c r="Q13" s="281">
        <f t="shared" si="4"/>
        <v>46.183559933924883</v>
      </c>
      <c r="R13" s="293">
        <f t="shared" si="5"/>
        <v>23.091779966962442</v>
      </c>
      <c r="U13" s="82"/>
      <c r="V13" s="82"/>
      <c r="W13" s="82"/>
    </row>
    <row r="14" spans="2:23" x14ac:dyDescent="0.25">
      <c r="B14" s="27" t="s">
        <v>112</v>
      </c>
      <c r="C14" s="79" t="s">
        <v>10</v>
      </c>
      <c r="D14" s="373">
        <v>4.6399999999999997</v>
      </c>
      <c r="E14" s="12">
        <f>Datos!K$23*FFM!D14%</f>
        <v>20066772.441599999</v>
      </c>
      <c r="F14" s="381">
        <v>70399</v>
      </c>
      <c r="G14" s="577">
        <f t="shared" si="0"/>
        <v>6.4885126808905982</v>
      </c>
      <c r="H14" s="378">
        <f>((Datos!K$24*0.7)*(0.5))*G14%</f>
        <v>761378.92215462239</v>
      </c>
      <c r="I14" s="374">
        <f>Datos!T85</f>
        <v>38608461</v>
      </c>
      <c r="J14" s="578">
        <f t="shared" si="1"/>
        <v>6.702122277851263</v>
      </c>
      <c r="K14" s="66">
        <f>((Datos!K$24*0.7)*(0.5))*FFM!J14%</f>
        <v>786444.42679250054</v>
      </c>
      <c r="L14" s="342">
        <v>0</v>
      </c>
      <c r="M14" s="198">
        <v>0</v>
      </c>
      <c r="N14" s="289">
        <f>(Datos!K$24-FFM!H$30-FFM!K$30)*FFM!M14%</f>
        <v>0</v>
      </c>
      <c r="O14" s="288">
        <f t="shared" si="2"/>
        <v>1547823.3489471229</v>
      </c>
      <c r="P14" s="287">
        <f t="shared" si="3"/>
        <v>21614595.790547121</v>
      </c>
      <c r="Q14" s="281">
        <f t="shared" si="4"/>
        <v>13.19063495874186</v>
      </c>
      <c r="R14" s="293">
        <f t="shared" si="5"/>
        <v>6.5953174793709302</v>
      </c>
      <c r="U14" s="82"/>
      <c r="V14" s="82"/>
      <c r="W14" s="82"/>
    </row>
    <row r="15" spans="2:23" x14ac:dyDescent="0.25">
      <c r="B15" s="43" t="s">
        <v>111</v>
      </c>
      <c r="C15" s="80" t="s">
        <v>11</v>
      </c>
      <c r="D15" s="373">
        <v>1.5</v>
      </c>
      <c r="E15" s="12">
        <f>Datos!K$23*FFM!D15%</f>
        <v>6487103.1600000001</v>
      </c>
      <c r="F15" s="381">
        <v>34300</v>
      </c>
      <c r="G15" s="577">
        <f t="shared" si="0"/>
        <v>3.1613515100292262</v>
      </c>
      <c r="H15" s="378">
        <f>((Datos!K$24*0.7)*(0.5))*G15%</f>
        <v>370961.1930553494</v>
      </c>
      <c r="I15" s="374">
        <f>Datos!T86</f>
        <v>56558</v>
      </c>
      <c r="J15" s="578">
        <f t="shared" si="1"/>
        <v>9.8180197286473498E-3</v>
      </c>
      <c r="K15" s="66">
        <f>((Datos!K$24*0.7)*(0.5))*FFM!J15%</f>
        <v>1152.0719225386954</v>
      </c>
      <c r="L15" s="342">
        <f>Datos!R86</f>
        <v>12163</v>
      </c>
      <c r="M15" s="198">
        <f t="shared" ref="M15:M28" si="6">L15/L$30*100</f>
        <v>0.19763703259443005</v>
      </c>
      <c r="N15" s="289">
        <f>(Datos!K$24-FFM!H$30-FFM!K$30)*FFM!M15%</f>
        <v>19878.207831743173</v>
      </c>
      <c r="O15" s="288">
        <f t="shared" si="2"/>
        <v>391991.47280963126</v>
      </c>
      <c r="P15" s="287">
        <f t="shared" si="3"/>
        <v>6879094.6328096315</v>
      </c>
      <c r="Q15" s="281">
        <f t="shared" si="4"/>
        <v>3.1711695297578735</v>
      </c>
      <c r="R15" s="293">
        <f t="shared" si="5"/>
        <v>1.5855847648789367</v>
      </c>
      <c r="U15" s="82"/>
      <c r="V15" s="82"/>
      <c r="W15" s="82"/>
    </row>
    <row r="16" spans="2:23" x14ac:dyDescent="0.25">
      <c r="B16" s="43" t="s">
        <v>111</v>
      </c>
      <c r="C16" s="80" t="s">
        <v>12</v>
      </c>
      <c r="D16" s="373">
        <v>1.53</v>
      </c>
      <c r="E16" s="12">
        <f>Datos!K$23*FFM!D16%</f>
        <v>6616845.2232000008</v>
      </c>
      <c r="F16" s="381">
        <v>11400</v>
      </c>
      <c r="G16" s="577">
        <f t="shared" si="0"/>
        <v>1.050711580592804</v>
      </c>
      <c r="H16" s="378">
        <f>((Datos!K$24*0.7)*(0.5))*G16%</f>
        <v>123293.22451402285</v>
      </c>
      <c r="I16" s="374">
        <f>Datos!T87</f>
        <v>81890</v>
      </c>
      <c r="J16" s="578">
        <f t="shared" si="1"/>
        <v>1.421545379219441E-2</v>
      </c>
      <c r="K16" s="66">
        <f>((Datos!K$24*0.7)*(0.5))*FFM!J16%</f>
        <v>1668.0782512941366</v>
      </c>
      <c r="L16" s="342">
        <f>Datos!R87</f>
        <v>13691</v>
      </c>
      <c r="M16" s="198">
        <f t="shared" si="6"/>
        <v>0.22246556057307754</v>
      </c>
      <c r="N16" s="289">
        <f>(Datos!K$24-FFM!H$30-FFM!K$30)*FFM!M16%</f>
        <v>22375.445484205855</v>
      </c>
      <c r="O16" s="288">
        <f t="shared" si="2"/>
        <v>147336.74824952285</v>
      </c>
      <c r="P16" s="287">
        <f t="shared" si="3"/>
        <v>6764181.9714495232</v>
      </c>
      <c r="Q16" s="281">
        <f t="shared" si="4"/>
        <v>1.0649270343849984</v>
      </c>
      <c r="R16" s="293">
        <f t="shared" si="5"/>
        <v>0.53246351719249918</v>
      </c>
      <c r="U16" s="82"/>
      <c r="V16" s="82"/>
      <c r="W16" s="82"/>
    </row>
    <row r="17" spans="2:23" x14ac:dyDescent="0.25">
      <c r="B17" s="27" t="s">
        <v>112</v>
      </c>
      <c r="C17" s="79" t="s">
        <v>13</v>
      </c>
      <c r="D17" s="373">
        <v>3.16</v>
      </c>
      <c r="E17" s="12">
        <f>Datos!K$23*FFM!D17%</f>
        <v>13666163.990400001</v>
      </c>
      <c r="F17" s="381">
        <v>27273</v>
      </c>
      <c r="G17" s="577">
        <f t="shared" si="0"/>
        <v>2.5136892050445216</v>
      </c>
      <c r="H17" s="378">
        <f>((Datos!K$24*0.7)*(0.5))*G17%</f>
        <v>294962.81685710046</v>
      </c>
      <c r="I17" s="374">
        <f>Datos!T88</f>
        <v>9310961</v>
      </c>
      <c r="J17" s="578">
        <f t="shared" si="1"/>
        <v>1.6163089004325832</v>
      </c>
      <c r="K17" s="66">
        <f>((Datos!K$24*0.7)*(0.5))*FFM!J17%</f>
        <v>189661.88231466484</v>
      </c>
      <c r="L17" s="342">
        <v>0</v>
      </c>
      <c r="M17" s="198">
        <v>0</v>
      </c>
      <c r="N17" s="289">
        <f>(Datos!K$24-FFM!H$30-FFM!K$30)*FFM!M17%</f>
        <v>0</v>
      </c>
      <c r="O17" s="288">
        <f t="shared" si="2"/>
        <v>484624.6991717653</v>
      </c>
      <c r="P17" s="287">
        <f t="shared" si="3"/>
        <v>14150788.689571766</v>
      </c>
      <c r="Q17" s="281">
        <f t="shared" si="4"/>
        <v>4.1299981054771049</v>
      </c>
      <c r="R17" s="293">
        <f t="shared" si="5"/>
        <v>2.0649990527385524</v>
      </c>
      <c r="U17" s="82"/>
      <c r="V17" s="82"/>
      <c r="W17" s="82"/>
    </row>
    <row r="18" spans="2:23" x14ac:dyDescent="0.25">
      <c r="B18" s="27" t="s">
        <v>112</v>
      </c>
      <c r="C18" s="79" t="s">
        <v>14</v>
      </c>
      <c r="D18" s="373">
        <v>2.81</v>
      </c>
      <c r="E18" s="12">
        <f>Datos!K$23*FFM!D18%</f>
        <v>12152506.5864</v>
      </c>
      <c r="F18" s="381">
        <v>17698</v>
      </c>
      <c r="G18" s="577">
        <f t="shared" si="0"/>
        <v>1.6311836450290742</v>
      </c>
      <c r="H18" s="378">
        <f>((Datos!K$24*0.7)*(0.5))*G18%</f>
        <v>191407.32346045406</v>
      </c>
      <c r="I18" s="374">
        <f>Datos!T89</f>
        <v>3182383</v>
      </c>
      <c r="J18" s="578">
        <f t="shared" si="1"/>
        <v>0.55243642063212872</v>
      </c>
      <c r="K18" s="66">
        <f>((Datos!K$24*0.7)*(0.5))*FFM!J18%</f>
        <v>64824.323721921937</v>
      </c>
      <c r="L18" s="342">
        <v>0</v>
      </c>
      <c r="M18" s="198">
        <v>0</v>
      </c>
      <c r="N18" s="289">
        <f>(Datos!K$24-FFM!H$30-FFM!K$30)*FFM!M18%</f>
        <v>0</v>
      </c>
      <c r="O18" s="288">
        <f t="shared" si="2"/>
        <v>256231.64718237601</v>
      </c>
      <c r="P18" s="287">
        <f t="shared" si="3"/>
        <v>12408738.233582376</v>
      </c>
      <c r="Q18" s="281">
        <f t="shared" si="4"/>
        <v>2.183620065661203</v>
      </c>
      <c r="R18" s="293">
        <f t="shared" si="5"/>
        <v>1.0918100328306015</v>
      </c>
      <c r="U18" s="82"/>
      <c r="V18" s="82"/>
      <c r="W18" s="82"/>
    </row>
    <row r="19" spans="2:23" x14ac:dyDescent="0.25">
      <c r="B19" s="27" t="s">
        <v>112</v>
      </c>
      <c r="C19" s="79" t="s">
        <v>15</v>
      </c>
      <c r="D19" s="373">
        <v>1.6</v>
      </c>
      <c r="E19" s="12">
        <f>Datos!K$23*FFM!D19%</f>
        <v>6919576.7039999999</v>
      </c>
      <c r="F19" s="381">
        <v>13600</v>
      </c>
      <c r="G19" s="577">
        <f t="shared" si="0"/>
        <v>1.2534804821107137</v>
      </c>
      <c r="H19" s="378">
        <f>((Datos!K$24*0.7)*(0.5))*G19%</f>
        <v>147086.6538062027</v>
      </c>
      <c r="I19" s="374">
        <f>Datos!T90</f>
        <v>581941</v>
      </c>
      <c r="J19" s="578">
        <f t="shared" si="1"/>
        <v>0.10102033697989261</v>
      </c>
      <c r="K19" s="66">
        <f>((Datos!K$24*0.7)*(0.5))*FFM!J19%</f>
        <v>11853.988590015399</v>
      </c>
      <c r="L19" s="342">
        <v>0</v>
      </c>
      <c r="M19" s="198">
        <v>0</v>
      </c>
      <c r="N19" s="289">
        <f>(Datos!K$24-FFM!H$30-FFM!K$30)*FFM!M19%</f>
        <v>0</v>
      </c>
      <c r="O19" s="288">
        <f t="shared" si="2"/>
        <v>158940.64239621809</v>
      </c>
      <c r="P19" s="287">
        <f t="shared" si="3"/>
        <v>7078517.3463962181</v>
      </c>
      <c r="Q19" s="281">
        <f t="shared" si="4"/>
        <v>1.3545008190906063</v>
      </c>
      <c r="R19" s="293">
        <f t="shared" si="5"/>
        <v>0.67725040954530313</v>
      </c>
      <c r="U19" s="82"/>
      <c r="V19" s="82"/>
      <c r="W19" s="82"/>
    </row>
    <row r="20" spans="2:23" x14ac:dyDescent="0.25">
      <c r="B20" s="43" t="s">
        <v>111</v>
      </c>
      <c r="C20" s="80" t="s">
        <v>16</v>
      </c>
      <c r="D20" s="373">
        <v>2.84</v>
      </c>
      <c r="E20" s="12">
        <f>Datos!K$23*FFM!D20%</f>
        <v>12282248.649599999</v>
      </c>
      <c r="F20" s="381">
        <v>34393</v>
      </c>
      <c r="G20" s="577">
        <f t="shared" si="0"/>
        <v>3.1699231045024834</v>
      </c>
      <c r="H20" s="378">
        <f>((Datos!K$24*0.7)*(0.5))*G20%</f>
        <v>371967.00620270066</v>
      </c>
      <c r="I20" s="374">
        <f>Datos!T91</f>
        <v>2120104</v>
      </c>
      <c r="J20" s="578">
        <f t="shared" si="1"/>
        <v>0.36803322074302769</v>
      </c>
      <c r="K20" s="66">
        <f>((Datos!K$24*0.7)*(0.5))*FFM!J20%</f>
        <v>43185.973536227917</v>
      </c>
      <c r="L20" s="342">
        <f>Datos!R91</f>
        <v>1147352</v>
      </c>
      <c r="M20" s="198">
        <f>L20/L$30*100</f>
        <v>18.643364681516445</v>
      </c>
      <c r="N20" s="289">
        <f>(Datos!K$24-FFM!H$30-FFM!K$30)*FFM!M20%</f>
        <v>1875137.837060445</v>
      </c>
      <c r="O20" s="288">
        <f t="shared" si="2"/>
        <v>2290290.8167993734</v>
      </c>
      <c r="P20" s="287">
        <f t="shared" si="3"/>
        <v>14572539.466399372</v>
      </c>
      <c r="Q20" s="281">
        <f t="shared" si="4"/>
        <v>3.5379563252455108</v>
      </c>
      <c r="R20" s="293">
        <f t="shared" si="5"/>
        <v>1.7689781626227554</v>
      </c>
      <c r="U20" s="82"/>
      <c r="V20" s="82"/>
      <c r="W20" s="82"/>
    </row>
    <row r="21" spans="2:23" x14ac:dyDescent="0.25">
      <c r="B21" s="27" t="s">
        <v>112</v>
      </c>
      <c r="C21" s="79" t="s">
        <v>17</v>
      </c>
      <c r="D21" s="373">
        <v>3.33</v>
      </c>
      <c r="E21" s="12">
        <f>Datos!K$23*FFM!D21%</f>
        <v>14401369.015200002</v>
      </c>
      <c r="F21" s="381">
        <v>23469</v>
      </c>
      <c r="G21" s="577">
        <f t="shared" si="0"/>
        <v>2.1630833407835541</v>
      </c>
      <c r="H21" s="378">
        <f>((Datos!K$24*0.7)*(0.5))*G21%</f>
        <v>253821.81457189491</v>
      </c>
      <c r="I21" s="374">
        <f>Datos!T92</f>
        <v>6139057</v>
      </c>
      <c r="J21" s="578">
        <f t="shared" si="1"/>
        <v>1.0656915509970404</v>
      </c>
      <c r="K21" s="66">
        <f>((Datos!K$24*0.7)*(0.5))*FFM!J21%</f>
        <v>125051.01312925911</v>
      </c>
      <c r="L21" s="342">
        <v>0</v>
      </c>
      <c r="M21" s="198">
        <v>0</v>
      </c>
      <c r="N21" s="289">
        <f>(Datos!K$24-FFM!H$30-FFM!K$30)*FFM!M21%</f>
        <v>0</v>
      </c>
      <c r="O21" s="288">
        <f t="shared" si="2"/>
        <v>378872.82770115405</v>
      </c>
      <c r="P21" s="287">
        <f t="shared" si="3"/>
        <v>14780241.842901155</v>
      </c>
      <c r="Q21" s="281">
        <f t="shared" si="4"/>
        <v>3.2287748917805947</v>
      </c>
      <c r="R21" s="293">
        <f t="shared" si="5"/>
        <v>1.6143874458902974</v>
      </c>
      <c r="U21" s="82"/>
      <c r="V21" s="82"/>
      <c r="W21" s="82"/>
    </row>
    <row r="22" spans="2:23" x14ac:dyDescent="0.25">
      <c r="B22" s="27" t="s">
        <v>112</v>
      </c>
      <c r="C22" s="79" t="s">
        <v>18</v>
      </c>
      <c r="D22" s="373">
        <v>4.6900000000000004</v>
      </c>
      <c r="E22" s="12">
        <f>Datos!K$23*FFM!D22%</f>
        <v>20283009.213600002</v>
      </c>
      <c r="F22" s="381">
        <v>43120</v>
      </c>
      <c r="G22" s="577">
        <f t="shared" si="0"/>
        <v>3.9742704697510276</v>
      </c>
      <c r="H22" s="378">
        <f>((Datos!K$24*0.7)*(0.5))*G22%</f>
        <v>466351.21412672504</v>
      </c>
      <c r="I22" s="374">
        <f>Datos!T93</f>
        <v>4353377</v>
      </c>
      <c r="J22" s="578">
        <f t="shared" si="1"/>
        <v>0.75571168132252931</v>
      </c>
      <c r="K22" s="66">
        <f>((Datos!K$24*0.7)*(0.5))*FFM!J22%</f>
        <v>88677.1705139103</v>
      </c>
      <c r="L22" s="342">
        <v>0</v>
      </c>
      <c r="M22" s="198">
        <v>0</v>
      </c>
      <c r="N22" s="289">
        <f>(Datos!K$24-FFM!H$30-FFM!K$30)*FFM!M22%</f>
        <v>0</v>
      </c>
      <c r="O22" s="288">
        <f t="shared" si="2"/>
        <v>555028.38464063534</v>
      </c>
      <c r="P22" s="287">
        <f t="shared" si="3"/>
        <v>20838037.598240636</v>
      </c>
      <c r="Q22" s="281">
        <f t="shared" si="4"/>
        <v>4.7299821510735569</v>
      </c>
      <c r="R22" s="293">
        <f t="shared" si="5"/>
        <v>2.3649910755367785</v>
      </c>
      <c r="U22" s="82"/>
      <c r="V22" s="82"/>
      <c r="W22" s="82"/>
    </row>
    <row r="23" spans="2:23" x14ac:dyDescent="0.25">
      <c r="B23" s="43" t="s">
        <v>111</v>
      </c>
      <c r="C23" s="80" t="s">
        <v>19</v>
      </c>
      <c r="D23" s="373">
        <v>2.13</v>
      </c>
      <c r="E23" s="12">
        <f>Datos!K$23*FFM!D23%</f>
        <v>9211686.4871999994</v>
      </c>
      <c r="F23" s="381">
        <v>7510</v>
      </c>
      <c r="G23" s="577">
        <f t="shared" si="0"/>
        <v>0.69217929563613667</v>
      </c>
      <c r="H23" s="378">
        <f>((Datos!K$24*0.7)*(0.5))*G23%</f>
        <v>81222.115447395743</v>
      </c>
      <c r="I23" s="374">
        <f>Datos!T94</f>
        <v>1276066</v>
      </c>
      <c r="J23" s="578">
        <f t="shared" si="1"/>
        <v>0.22151492561717367</v>
      </c>
      <c r="K23" s="66">
        <f>((Datos!K$24*0.7)*(0.5))*FFM!J23%</f>
        <v>25993.13642466606</v>
      </c>
      <c r="L23" s="342">
        <f>Datos!R94</f>
        <v>820443</v>
      </c>
      <c r="M23" s="198">
        <f t="shared" si="6"/>
        <v>13.331408364126613</v>
      </c>
      <c r="N23" s="289">
        <f>(Datos!K$24-FFM!H$30-FFM!K$30)*FFM!M23%</f>
        <v>1340864.6278137683</v>
      </c>
      <c r="O23" s="288">
        <f t="shared" si="2"/>
        <v>1448079.8796858301</v>
      </c>
      <c r="P23" s="287">
        <f t="shared" si="3"/>
        <v>10659766.36688583</v>
      </c>
      <c r="Q23" s="281">
        <f t="shared" si="4"/>
        <v>0.91369422125331035</v>
      </c>
      <c r="R23" s="293">
        <f t="shared" si="5"/>
        <v>0.45684711062665517</v>
      </c>
      <c r="U23" s="82"/>
      <c r="V23" s="82"/>
      <c r="W23" s="82"/>
    </row>
    <row r="24" spans="2:23" x14ac:dyDescent="0.25">
      <c r="B24" s="27" t="s">
        <v>112</v>
      </c>
      <c r="C24" s="79" t="s">
        <v>20</v>
      </c>
      <c r="D24" s="373">
        <v>2.81</v>
      </c>
      <c r="E24" s="12">
        <f>Datos!K$23*FFM!D24%</f>
        <v>12152506.5864</v>
      </c>
      <c r="F24" s="381">
        <v>22412</v>
      </c>
      <c r="G24" s="577">
        <f t="shared" si="0"/>
        <v>2.0656621003724496</v>
      </c>
      <c r="H24" s="378">
        <f>((Datos!K$24*0.7)*(0.5))*G24%</f>
        <v>242390.15331651579</v>
      </c>
      <c r="I24" s="374">
        <f>Datos!T95</f>
        <v>2538386</v>
      </c>
      <c r="J24" s="578">
        <f t="shared" si="1"/>
        <v>0.44064365477778972</v>
      </c>
      <c r="K24" s="66">
        <f>((Datos!K$24*0.7)*(0.5))*FFM!J24%</f>
        <v>51706.270362553652</v>
      </c>
      <c r="L24" s="342">
        <v>0</v>
      </c>
      <c r="M24" s="198">
        <v>0</v>
      </c>
      <c r="N24" s="289">
        <f>(Datos!K$24-FFM!H$30-FFM!K$30)*FFM!M24%</f>
        <v>0</v>
      </c>
      <c r="O24" s="288">
        <f t="shared" si="2"/>
        <v>294096.42367906944</v>
      </c>
      <c r="P24" s="287">
        <f t="shared" si="3"/>
        <v>12446603.010079069</v>
      </c>
      <c r="Q24" s="281">
        <f t="shared" si="4"/>
        <v>2.5063057551502395</v>
      </c>
      <c r="R24" s="293">
        <f t="shared" si="5"/>
        <v>1.2531528775751197</v>
      </c>
      <c r="U24" s="82"/>
      <c r="V24" s="82"/>
      <c r="W24" s="82"/>
    </row>
    <row r="25" spans="2:23" x14ac:dyDescent="0.25">
      <c r="B25" s="43" t="s">
        <v>111</v>
      </c>
      <c r="C25" s="80" t="s">
        <v>27</v>
      </c>
      <c r="D25" s="373">
        <v>8.34</v>
      </c>
      <c r="E25" s="12">
        <f>Datos!K$23*FFM!D25%</f>
        <v>36068293.569600001</v>
      </c>
      <c r="F25" s="381">
        <v>93074</v>
      </c>
      <c r="G25" s="577">
        <f t="shared" si="0"/>
        <v>8.5784148817626882</v>
      </c>
      <c r="H25" s="378">
        <f>((Datos!K$24*0.7)*(0.5))*G25%</f>
        <v>1006613.4717910669</v>
      </c>
      <c r="I25" s="374">
        <f>Datos!T96</f>
        <v>12549885</v>
      </c>
      <c r="J25" s="578">
        <f t="shared" si="1"/>
        <v>2.1785603897283399</v>
      </c>
      <c r="K25" s="66">
        <f>((Datos!K$24*0.7)*(0.5))*FFM!J25%</f>
        <v>255637.9316734951</v>
      </c>
      <c r="L25" s="342">
        <f>Datos!R96</f>
        <v>3479641</v>
      </c>
      <c r="M25" s="198">
        <f t="shared" si="6"/>
        <v>56.540814086484851</v>
      </c>
      <c r="N25" s="289">
        <f>(Datos!K$24-FFM!H$30-FFM!K$30)*FFM!M25%</f>
        <v>5686839.3470241427</v>
      </c>
      <c r="O25" s="288">
        <f t="shared" si="2"/>
        <v>6949090.750488705</v>
      </c>
      <c r="P25" s="287">
        <f t="shared" si="3"/>
        <v>43017384.320088707</v>
      </c>
      <c r="Q25" s="281">
        <f t="shared" si="4"/>
        <v>10.756975271491028</v>
      </c>
      <c r="R25" s="293">
        <f t="shared" si="5"/>
        <v>5.3784876357455138</v>
      </c>
      <c r="U25" s="82"/>
      <c r="V25" s="82"/>
      <c r="W25" s="82"/>
    </row>
    <row r="26" spans="2:23" x14ac:dyDescent="0.25">
      <c r="B26" s="27" t="s">
        <v>112</v>
      </c>
      <c r="C26" s="79" t="s">
        <v>21</v>
      </c>
      <c r="D26" s="373">
        <v>3.5</v>
      </c>
      <c r="E26" s="12">
        <f>Datos!K$23*FFM!D26%</f>
        <v>15136574.040000001</v>
      </c>
      <c r="F26" s="381">
        <v>39756</v>
      </c>
      <c r="G26" s="577">
        <f t="shared" si="0"/>
        <v>3.6642183857936419</v>
      </c>
      <c r="H26" s="378">
        <f>((Datos!K$24*0.7)*(0.5))*G26%</f>
        <v>429968.89769995544</v>
      </c>
      <c r="I26" s="374">
        <f>Datos!T97</f>
        <v>12319331</v>
      </c>
      <c r="J26" s="578">
        <f t="shared" si="1"/>
        <v>2.1385380459304941</v>
      </c>
      <c r="K26" s="66">
        <f>((Datos!K$24*0.7)*(0.5))*FFM!J26%</f>
        <v>250941.6059542514</v>
      </c>
      <c r="L26" s="342">
        <v>0</v>
      </c>
      <c r="M26" s="198">
        <v>0</v>
      </c>
      <c r="N26" s="289">
        <f>(Datos!K$24-FFM!H$30-FFM!K$30)*FFM!M26%</f>
        <v>0</v>
      </c>
      <c r="O26" s="288">
        <f t="shared" si="2"/>
        <v>680910.50365420687</v>
      </c>
      <c r="P26" s="287">
        <f t="shared" si="3"/>
        <v>15817484.543654207</v>
      </c>
      <c r="Q26" s="281">
        <f t="shared" si="4"/>
        <v>5.802756431724136</v>
      </c>
      <c r="R26" s="293">
        <f t="shared" si="5"/>
        <v>2.901378215862068</v>
      </c>
      <c r="U26" s="82"/>
      <c r="V26" s="82"/>
      <c r="W26" s="82"/>
    </row>
    <row r="27" spans="2:23" x14ac:dyDescent="0.25">
      <c r="B27" s="27" t="s">
        <v>112</v>
      </c>
      <c r="C27" s="79" t="s">
        <v>22</v>
      </c>
      <c r="D27" s="373">
        <v>39</v>
      </c>
      <c r="E27" s="12">
        <f>Datos!K$23*FFM!D27%</f>
        <v>168664682.16</v>
      </c>
      <c r="F27" s="381">
        <v>380249</v>
      </c>
      <c r="G27" s="577">
        <f t="shared" si="0"/>
        <v>35.046669106037996</v>
      </c>
      <c r="H27" s="378">
        <f>((Datos!K$24*0.7)*(0.5))*G27%</f>
        <v>4112467.1340554976</v>
      </c>
      <c r="I27" s="374">
        <f>Datos!T98</f>
        <v>236317850</v>
      </c>
      <c r="J27" s="578">
        <f t="shared" si="1"/>
        <v>41.022902392791913</v>
      </c>
      <c r="K27" s="66">
        <f>((Datos!K$24*0.7)*(0.5))*FFM!J27%</f>
        <v>4813733.8622248145</v>
      </c>
      <c r="L27" s="342">
        <v>0</v>
      </c>
      <c r="M27" s="198">
        <v>0</v>
      </c>
      <c r="N27" s="289">
        <f>(Datos!K$24-FFM!H$30-FFM!K$30)*FFM!M27%</f>
        <v>0</v>
      </c>
      <c r="O27" s="288">
        <f t="shared" si="2"/>
        <v>8926200.9962803125</v>
      </c>
      <c r="P27" s="287">
        <f t="shared" si="3"/>
        <v>177590883.15628031</v>
      </c>
      <c r="Q27" s="281">
        <f t="shared" si="4"/>
        <v>76.069571498829902</v>
      </c>
      <c r="R27" s="293">
        <f t="shared" si="5"/>
        <v>38.034785749414951</v>
      </c>
      <c r="U27" s="82"/>
      <c r="V27" s="82"/>
      <c r="W27" s="82"/>
    </row>
    <row r="28" spans="2:23" x14ac:dyDescent="0.25">
      <c r="B28" s="81" t="s">
        <v>113</v>
      </c>
      <c r="C28" s="80" t="s">
        <v>23</v>
      </c>
      <c r="D28" s="373">
        <v>3.79</v>
      </c>
      <c r="E28" s="12">
        <f>Datos!K$23*FFM!D28%</f>
        <v>16390747.317600001</v>
      </c>
      <c r="F28" s="381">
        <v>30030</v>
      </c>
      <c r="G28" s="577">
        <f t="shared" si="0"/>
        <v>2.7677955057194654</v>
      </c>
      <c r="H28" s="378">
        <f>((Datos!K$24*0.7)*(0.5))*G28%</f>
        <v>324780.30983825494</v>
      </c>
      <c r="I28" s="374">
        <f>Datos!T99</f>
        <v>1516592</v>
      </c>
      <c r="J28" s="578">
        <f t="shared" si="1"/>
        <v>0.26326832943719264</v>
      </c>
      <c r="K28" s="66">
        <f>((Datos!K$24*0.7)*(0.5))*FFM!J28%</f>
        <v>30892.589220743401</v>
      </c>
      <c r="L28" s="342">
        <f>Datos!R99</f>
        <v>680921</v>
      </c>
      <c r="M28" s="198">
        <f t="shared" si="6"/>
        <v>11.064310274704589</v>
      </c>
      <c r="N28" s="289">
        <f>(Datos!K$24-FFM!H$30-FFM!K$30)*FFM!M28%</f>
        <v>1112841.3347856938</v>
      </c>
      <c r="O28" s="288">
        <f t="shared" si="2"/>
        <v>1468514.2338446921</v>
      </c>
      <c r="P28" s="287">
        <f t="shared" si="3"/>
        <v>17859261.551444694</v>
      </c>
      <c r="Q28" s="281">
        <f t="shared" si="4"/>
        <v>3.0310638351566581</v>
      </c>
      <c r="R28" s="293">
        <f t="shared" si="5"/>
        <v>1.5155319175783291</v>
      </c>
      <c r="U28" s="82"/>
      <c r="V28" s="82"/>
      <c r="W28" s="82"/>
    </row>
    <row r="29" spans="2:23" x14ac:dyDescent="0.25">
      <c r="B29" s="27" t="s">
        <v>112</v>
      </c>
      <c r="C29" s="79" t="s">
        <v>24</v>
      </c>
      <c r="D29" s="373">
        <v>3.1</v>
      </c>
      <c r="E29" s="12">
        <f>Datos!K$23*FFM!D29%</f>
        <v>13406679.864</v>
      </c>
      <c r="F29" s="381">
        <v>49102</v>
      </c>
      <c r="G29" s="577">
        <f t="shared" si="0"/>
        <v>4.5256175465147246</v>
      </c>
      <c r="H29" s="378">
        <f>((Datos!K$24*0.7)*(0.5))*G29%</f>
        <v>531047.71141118847</v>
      </c>
      <c r="I29" s="374">
        <f>Datos!T100</f>
        <v>27689428</v>
      </c>
      <c r="J29" s="578">
        <f t="shared" si="1"/>
        <v>4.8066648463340345</v>
      </c>
      <c r="K29" s="66">
        <f>((Datos!K$24*0.7)*(0.5))*FFM!J29%</f>
        <v>564026.53117077658</v>
      </c>
      <c r="L29" s="335">
        <v>0</v>
      </c>
      <c r="M29" s="201">
        <v>0</v>
      </c>
      <c r="N29" s="289">
        <f>(Datos!K$24-FFM!H$30-FFM!K$30)*FFM!M29%</f>
        <v>0</v>
      </c>
      <c r="O29" s="288">
        <f t="shared" si="2"/>
        <v>1095074.2425819649</v>
      </c>
      <c r="P29" s="287">
        <f t="shared" si="3"/>
        <v>14501754.106581965</v>
      </c>
      <c r="Q29" s="281">
        <f t="shared" si="4"/>
        <v>9.332282392848759</v>
      </c>
      <c r="R29" s="293">
        <f t="shared" si="5"/>
        <v>4.6661411964243795</v>
      </c>
      <c r="U29" s="82"/>
      <c r="V29" s="82"/>
      <c r="W29" s="82"/>
    </row>
    <row r="30" spans="2:23" x14ac:dyDescent="0.25">
      <c r="B30" s="27"/>
      <c r="C30" s="370" t="s">
        <v>25</v>
      </c>
      <c r="D30" s="574">
        <f>SUM(D10:D29)</f>
        <v>100</v>
      </c>
      <c r="E30" s="40">
        <f>SUM(E10:E29)</f>
        <v>432473544.00000006</v>
      </c>
      <c r="F30" s="18">
        <f>SUM(F10:F29)</f>
        <v>1084979</v>
      </c>
      <c r="G30" s="575">
        <f t="shared" si="0"/>
        <v>100</v>
      </c>
      <c r="H30" s="58">
        <f>SUM(H10:H29)</f>
        <v>11734259.600000001</v>
      </c>
      <c r="I30" s="375">
        <f>SUM(I10:I29)</f>
        <v>576063214</v>
      </c>
      <c r="J30" s="575">
        <f>I30/I$30*100</f>
        <v>100</v>
      </c>
      <c r="K30" s="307">
        <f>SUM(K10:K29)</f>
        <v>11734259.6</v>
      </c>
      <c r="L30" s="18">
        <f>SUM(L10:L29)</f>
        <v>6154211</v>
      </c>
      <c r="M30" s="586">
        <f>SUM(M10:M29)</f>
        <v>100</v>
      </c>
      <c r="N30" s="290">
        <f>(Datos!K$24-FFM!H$30-FFM!K$30)*FFM!M30%</f>
        <v>10057936.799999999</v>
      </c>
      <c r="O30" s="343">
        <f>SUM(O10:O29)</f>
        <v>33526455.999999996</v>
      </c>
      <c r="P30" s="19">
        <f>SUM(P10:P29)</f>
        <v>466000000.00000006</v>
      </c>
      <c r="Q30" s="281">
        <f t="shared" si="4"/>
        <v>200</v>
      </c>
      <c r="R30" s="293">
        <f t="shared" si="5"/>
        <v>100</v>
      </c>
      <c r="T30" s="281"/>
      <c r="V30" s="82"/>
      <c r="W30" s="82"/>
    </row>
    <row r="31" spans="2:23" x14ac:dyDescent="0.25">
      <c r="B31" s="2" t="s">
        <v>26</v>
      </c>
      <c r="C31" s="2"/>
      <c r="D31" s="23"/>
      <c r="E31" s="2"/>
      <c r="F31" s="2"/>
      <c r="G31" s="2"/>
      <c r="H31" s="59"/>
      <c r="I31" s="37"/>
      <c r="J31" s="59"/>
      <c r="K31" s="59"/>
      <c r="L31" s="38"/>
      <c r="M31" s="38"/>
      <c r="N31" s="64"/>
      <c r="O31" s="37"/>
    </row>
    <row r="32" spans="2:23" x14ac:dyDescent="0.25">
      <c r="H32" s="344"/>
      <c r="J32" s="198"/>
      <c r="L32" s="39"/>
      <c r="M32" s="39"/>
      <c r="N32" s="65"/>
    </row>
    <row r="33" spans="3:12" x14ac:dyDescent="0.25">
      <c r="J33" s="198"/>
    </row>
    <row r="34" spans="3:12" x14ac:dyDescent="0.25">
      <c r="J34" s="198"/>
    </row>
    <row r="35" spans="3:12" ht="15.75" hidden="1" x14ac:dyDescent="0.25">
      <c r="C35" s="641" t="s">
        <v>153</v>
      </c>
      <c r="D35" s="641"/>
      <c r="E35" s="641"/>
      <c r="F35" s="641"/>
      <c r="G35" s="641"/>
      <c r="H35" s="641"/>
      <c r="I35" s="641"/>
      <c r="J35" s="198"/>
    </row>
    <row r="36" spans="3:12" hidden="1" x14ac:dyDescent="0.25">
      <c r="C36" s="2"/>
      <c r="D36" s="2"/>
      <c r="E36" s="2"/>
      <c r="F36" s="2"/>
      <c r="G36" s="2"/>
      <c r="H36" s="2"/>
      <c r="I36" s="2"/>
      <c r="J36" s="198"/>
    </row>
    <row r="37" spans="3:12" hidden="1" x14ac:dyDescent="0.25">
      <c r="C37" s="762" t="s">
        <v>0</v>
      </c>
      <c r="D37" s="4" t="s">
        <v>62</v>
      </c>
      <c r="E37" s="4" t="s">
        <v>64</v>
      </c>
      <c r="F37" s="4" t="s">
        <v>159</v>
      </c>
      <c r="G37" s="76" t="s">
        <v>146</v>
      </c>
      <c r="H37" s="76" t="s">
        <v>66</v>
      </c>
      <c r="I37" s="4" t="s">
        <v>154</v>
      </c>
      <c r="J37" s="198"/>
    </row>
    <row r="38" spans="3:12" hidden="1" x14ac:dyDescent="0.25">
      <c r="C38" s="763"/>
      <c r="D38" s="5" t="s">
        <v>63</v>
      </c>
      <c r="E38" s="5" t="s">
        <v>65</v>
      </c>
      <c r="F38" s="5" t="s">
        <v>160</v>
      </c>
      <c r="G38" s="77" t="s">
        <v>152</v>
      </c>
      <c r="H38" s="77" t="s">
        <v>157</v>
      </c>
      <c r="I38" s="5" t="s">
        <v>155</v>
      </c>
      <c r="J38" s="198"/>
    </row>
    <row r="39" spans="3:12" hidden="1" x14ac:dyDescent="0.25">
      <c r="C39" s="763"/>
      <c r="D39" s="71">
        <v>2014</v>
      </c>
      <c r="E39" s="71" t="s">
        <v>158</v>
      </c>
      <c r="F39" s="71" t="s">
        <v>161</v>
      </c>
      <c r="G39" s="77" t="s">
        <v>156</v>
      </c>
      <c r="H39" s="77" t="s">
        <v>150</v>
      </c>
      <c r="I39" s="5">
        <v>2014</v>
      </c>
      <c r="J39" s="198"/>
    </row>
    <row r="40" spans="3:12" hidden="1" x14ac:dyDescent="0.25">
      <c r="C40" s="764"/>
      <c r="D40" s="6" t="s">
        <v>4</v>
      </c>
      <c r="E40" s="6" t="s">
        <v>5</v>
      </c>
      <c r="F40" s="6" t="s">
        <v>30</v>
      </c>
      <c r="G40" s="6" t="s">
        <v>28</v>
      </c>
      <c r="H40" s="6" t="s">
        <v>98</v>
      </c>
      <c r="I40" s="6" t="s">
        <v>162</v>
      </c>
      <c r="J40" s="198"/>
    </row>
    <row r="41" spans="3:12" hidden="1" x14ac:dyDescent="0.25">
      <c r="C41" s="7" t="s">
        <v>6</v>
      </c>
      <c r="D41" s="32">
        <v>3.62</v>
      </c>
      <c r="E41" s="9">
        <f>Datos!K$23*FFM!D41%</f>
        <v>15655542.292800002</v>
      </c>
      <c r="F41" s="37">
        <f>E41*0.7</f>
        <v>10958879.60496</v>
      </c>
      <c r="G41" s="37">
        <f t="shared" ref="G41:G61" si="7">H10+K10</f>
        <v>595988.90144102741</v>
      </c>
      <c r="H41" s="37">
        <f t="shared" ref="H41:H61" si="8">E41+G41</f>
        <v>16251531.194241028</v>
      </c>
      <c r="I41" s="37">
        <f>F41+G41</f>
        <v>11554868.506401028</v>
      </c>
      <c r="J41" s="198"/>
    </row>
    <row r="42" spans="3:12" hidden="1" x14ac:dyDescent="0.25">
      <c r="C42" s="10" t="s">
        <v>7</v>
      </c>
      <c r="D42" s="33">
        <v>2.4700000000000002</v>
      </c>
      <c r="E42" s="12">
        <f>Datos!K$23*FFM!D42%</f>
        <v>10682096.536800001</v>
      </c>
      <c r="F42" s="37">
        <f t="shared" ref="F42:F61" si="9">E42*0.7</f>
        <v>7477467.5757600004</v>
      </c>
      <c r="G42" s="37">
        <f t="shared" si="7"/>
        <v>241912.47119731223</v>
      </c>
      <c r="H42" s="37">
        <f t="shared" si="8"/>
        <v>10924009.007997314</v>
      </c>
      <c r="I42" s="37">
        <f t="shared" ref="I42:I60" si="10">F42+G42</f>
        <v>7719380.0469573122</v>
      </c>
      <c r="J42" s="198"/>
    </row>
    <row r="43" spans="3:12" hidden="1" x14ac:dyDescent="0.25">
      <c r="C43" s="10" t="s">
        <v>8</v>
      </c>
      <c r="D43" s="33">
        <v>2.33</v>
      </c>
      <c r="E43" s="12">
        <f>Datos!K$23*FFM!D43%</f>
        <v>10076633.575200001</v>
      </c>
      <c r="F43" s="37">
        <f t="shared" si="9"/>
        <v>7053643.5026400005</v>
      </c>
      <c r="G43" s="37">
        <f t="shared" si="7"/>
        <v>196148.19408074411</v>
      </c>
      <c r="H43" s="37">
        <f t="shared" si="8"/>
        <v>10272781.769280745</v>
      </c>
      <c r="I43" s="37">
        <f t="shared" si="10"/>
        <v>7249791.6967207445</v>
      </c>
      <c r="J43" s="198"/>
    </row>
    <row r="44" spans="3:12" hidden="1" x14ac:dyDescent="0.25">
      <c r="C44" s="10" t="s">
        <v>9</v>
      </c>
      <c r="D44" s="33">
        <v>2.81</v>
      </c>
      <c r="E44" s="12">
        <f>Datos!K$23*FFM!D44%</f>
        <v>12152506.5864</v>
      </c>
      <c r="F44" s="37">
        <f t="shared" si="9"/>
        <v>8506754.6104799993</v>
      </c>
      <c r="G44" s="37">
        <f t="shared" si="7"/>
        <v>5419298.8151683342</v>
      </c>
      <c r="H44" s="37">
        <f t="shared" si="8"/>
        <v>17571805.401568335</v>
      </c>
      <c r="I44" s="37">
        <f t="shared" si="10"/>
        <v>13926053.425648334</v>
      </c>
      <c r="J44" s="198"/>
      <c r="L44" s="82"/>
    </row>
    <row r="45" spans="3:12" hidden="1" x14ac:dyDescent="0.25">
      <c r="C45" s="10" t="s">
        <v>10</v>
      </c>
      <c r="D45" s="33">
        <v>4.6399999999999997</v>
      </c>
      <c r="E45" s="12">
        <f>Datos!K$23*FFM!D45%</f>
        <v>20066772.441599999</v>
      </c>
      <c r="F45" s="37">
        <f t="shared" si="9"/>
        <v>14046740.709119998</v>
      </c>
      <c r="G45" s="37">
        <f t="shared" si="7"/>
        <v>1547823.3489471229</v>
      </c>
      <c r="H45" s="37">
        <f t="shared" si="8"/>
        <v>21614595.790547121</v>
      </c>
      <c r="I45" s="37">
        <f t="shared" si="10"/>
        <v>15594564.058067121</v>
      </c>
      <c r="J45" s="198"/>
      <c r="L45" s="82"/>
    </row>
    <row r="46" spans="3:12" hidden="1" x14ac:dyDescent="0.25">
      <c r="C46" s="10" t="s">
        <v>11</v>
      </c>
      <c r="D46" s="33">
        <v>1.5</v>
      </c>
      <c r="E46" s="12">
        <f>Datos!K$23*FFM!D46%</f>
        <v>6487103.1600000001</v>
      </c>
      <c r="F46" s="37">
        <f t="shared" si="9"/>
        <v>4540972.2119999994</v>
      </c>
      <c r="G46" s="37">
        <f t="shared" si="7"/>
        <v>372113.26497788809</v>
      </c>
      <c r="H46" s="37">
        <f t="shared" si="8"/>
        <v>6859216.4249778884</v>
      </c>
      <c r="I46" s="37">
        <f t="shared" si="10"/>
        <v>4913085.4769778876</v>
      </c>
      <c r="J46" s="198"/>
      <c r="L46" s="82"/>
    </row>
    <row r="47" spans="3:12" hidden="1" x14ac:dyDescent="0.25">
      <c r="C47" s="10" t="s">
        <v>12</v>
      </c>
      <c r="D47" s="33">
        <v>1.53</v>
      </c>
      <c r="E47" s="12">
        <f>Datos!K$23*FFM!D47%</f>
        <v>6616845.2232000008</v>
      </c>
      <c r="F47" s="37">
        <f t="shared" si="9"/>
        <v>4631791.6562400004</v>
      </c>
      <c r="G47" s="37">
        <f t="shared" si="7"/>
        <v>124961.30276531698</v>
      </c>
      <c r="H47" s="37">
        <f t="shared" si="8"/>
        <v>6741806.5259653181</v>
      </c>
      <c r="I47" s="37">
        <f t="shared" si="10"/>
        <v>4756752.9590053177</v>
      </c>
      <c r="J47" s="198"/>
    </row>
    <row r="48" spans="3:12" hidden="1" x14ac:dyDescent="0.25">
      <c r="C48" s="10" t="s">
        <v>13</v>
      </c>
      <c r="D48" s="33">
        <v>3.16</v>
      </c>
      <c r="E48" s="12">
        <f>Datos!K$23*FFM!D48%</f>
        <v>13666163.990400001</v>
      </c>
      <c r="F48" s="37">
        <f t="shared" si="9"/>
        <v>9566314.7932799999</v>
      </c>
      <c r="G48" s="37">
        <f t="shared" si="7"/>
        <v>484624.6991717653</v>
      </c>
      <c r="H48" s="37">
        <f t="shared" si="8"/>
        <v>14150788.689571766</v>
      </c>
      <c r="I48" s="37">
        <f t="shared" si="10"/>
        <v>10050939.492451765</v>
      </c>
      <c r="J48" s="198"/>
    </row>
    <row r="49" spans="3:10" hidden="1" x14ac:dyDescent="0.25">
      <c r="C49" s="10" t="s">
        <v>14</v>
      </c>
      <c r="D49" s="33">
        <v>2.81</v>
      </c>
      <c r="E49" s="12">
        <f>Datos!K$23*FFM!D49%</f>
        <v>12152506.5864</v>
      </c>
      <c r="F49" s="37">
        <f t="shared" si="9"/>
        <v>8506754.6104799993</v>
      </c>
      <c r="G49" s="37">
        <f t="shared" si="7"/>
        <v>256231.64718237601</v>
      </c>
      <c r="H49" s="37">
        <f t="shared" si="8"/>
        <v>12408738.233582376</v>
      </c>
      <c r="I49" s="37">
        <f t="shared" si="10"/>
        <v>8762986.2576623745</v>
      </c>
      <c r="J49" s="198"/>
    </row>
    <row r="50" spans="3:10" hidden="1" x14ac:dyDescent="0.25">
      <c r="C50" s="10" t="s">
        <v>15</v>
      </c>
      <c r="D50" s="33">
        <v>1.6</v>
      </c>
      <c r="E50" s="12">
        <f>Datos!K$23*FFM!D50%</f>
        <v>6919576.7039999999</v>
      </c>
      <c r="F50" s="37">
        <f t="shared" si="9"/>
        <v>4843703.6927999994</v>
      </c>
      <c r="G50" s="37">
        <f t="shared" si="7"/>
        <v>158940.64239621809</v>
      </c>
      <c r="H50" s="37">
        <f t="shared" si="8"/>
        <v>7078517.3463962181</v>
      </c>
      <c r="I50" s="37">
        <f t="shared" si="10"/>
        <v>5002644.3351962175</v>
      </c>
      <c r="J50" s="198"/>
    </row>
    <row r="51" spans="3:10" hidden="1" x14ac:dyDescent="0.25">
      <c r="C51" s="10" t="s">
        <v>16</v>
      </c>
      <c r="D51" s="33">
        <v>2.84</v>
      </c>
      <c r="E51" s="12">
        <f>Datos!K$23*FFM!D51%</f>
        <v>12282248.649599999</v>
      </c>
      <c r="F51" s="37">
        <f t="shared" si="9"/>
        <v>8597574.0547199994</v>
      </c>
      <c r="G51" s="37">
        <f t="shared" si="7"/>
        <v>415152.97973892861</v>
      </c>
      <c r="H51" s="37">
        <f t="shared" si="8"/>
        <v>12697401.629338928</v>
      </c>
      <c r="I51" s="37">
        <f t="shared" si="10"/>
        <v>9012727.0344589278</v>
      </c>
      <c r="J51" s="198"/>
    </row>
    <row r="52" spans="3:10" hidden="1" x14ac:dyDescent="0.25">
      <c r="C52" s="10" t="s">
        <v>17</v>
      </c>
      <c r="D52" s="33">
        <v>3.33</v>
      </c>
      <c r="E52" s="12">
        <f>Datos!K$23*FFM!D52%</f>
        <v>14401369.015200002</v>
      </c>
      <c r="F52" s="37">
        <f t="shared" si="9"/>
        <v>10080958.310640002</v>
      </c>
      <c r="G52" s="37">
        <f t="shared" si="7"/>
        <v>378872.82770115405</v>
      </c>
      <c r="H52" s="37">
        <f t="shared" si="8"/>
        <v>14780241.842901155</v>
      </c>
      <c r="I52" s="37">
        <f t="shared" si="10"/>
        <v>10459831.138341155</v>
      </c>
      <c r="J52" s="198"/>
    </row>
    <row r="53" spans="3:10" hidden="1" x14ac:dyDescent="0.25">
      <c r="C53" s="10" t="s">
        <v>18</v>
      </c>
      <c r="D53" s="33">
        <v>4.6900000000000004</v>
      </c>
      <c r="E53" s="12">
        <f>Datos!K$23*FFM!D53%</f>
        <v>20283009.213600002</v>
      </c>
      <c r="F53" s="37">
        <f t="shared" si="9"/>
        <v>14198106.449520001</v>
      </c>
      <c r="G53" s="37">
        <f t="shared" si="7"/>
        <v>555028.38464063534</v>
      </c>
      <c r="H53" s="37">
        <f t="shared" si="8"/>
        <v>20838037.598240636</v>
      </c>
      <c r="I53" s="37">
        <f t="shared" si="10"/>
        <v>14753134.834160637</v>
      </c>
      <c r="J53" s="198"/>
    </row>
    <row r="54" spans="3:10" hidden="1" x14ac:dyDescent="0.25">
      <c r="C54" s="10" t="s">
        <v>19</v>
      </c>
      <c r="D54" s="33">
        <v>2.13</v>
      </c>
      <c r="E54" s="12">
        <f>Datos!K$23*FFM!D54%</f>
        <v>9211686.4871999994</v>
      </c>
      <c r="F54" s="37">
        <f t="shared" si="9"/>
        <v>6448180.5410399996</v>
      </c>
      <c r="G54" s="37">
        <f t="shared" si="7"/>
        <v>107215.25187206181</v>
      </c>
      <c r="H54" s="37">
        <f t="shared" si="8"/>
        <v>9318901.7390720621</v>
      </c>
      <c r="I54" s="37">
        <f t="shared" si="10"/>
        <v>6555395.7929120613</v>
      </c>
      <c r="J54" s="198"/>
    </row>
    <row r="55" spans="3:10" hidden="1" x14ac:dyDescent="0.25">
      <c r="C55" s="10" t="s">
        <v>20</v>
      </c>
      <c r="D55" s="33">
        <v>2.81</v>
      </c>
      <c r="E55" s="12">
        <f>Datos!K$23*FFM!D55%</f>
        <v>12152506.5864</v>
      </c>
      <c r="F55" s="37">
        <f t="shared" si="9"/>
        <v>8506754.6104799993</v>
      </c>
      <c r="G55" s="37">
        <f t="shared" si="7"/>
        <v>294096.42367906944</v>
      </c>
      <c r="H55" s="37">
        <f t="shared" si="8"/>
        <v>12446603.010079069</v>
      </c>
      <c r="I55" s="37">
        <f t="shared" si="10"/>
        <v>8800851.034159068</v>
      </c>
      <c r="J55" s="198"/>
    </row>
    <row r="56" spans="3:10" hidden="1" x14ac:dyDescent="0.25">
      <c r="C56" s="10" t="s">
        <v>27</v>
      </c>
      <c r="D56" s="33">
        <v>8.34</v>
      </c>
      <c r="E56" s="12">
        <f>Datos!K$23*FFM!D56%</f>
        <v>36068293.569600001</v>
      </c>
      <c r="F56" s="37">
        <f t="shared" si="9"/>
        <v>25247805.498719998</v>
      </c>
      <c r="G56" s="37">
        <f t="shared" si="7"/>
        <v>1262251.403464562</v>
      </c>
      <c r="H56" s="37">
        <f t="shared" si="8"/>
        <v>37330544.973064564</v>
      </c>
      <c r="I56" s="37">
        <f t="shared" si="10"/>
        <v>26510056.902184561</v>
      </c>
      <c r="J56" s="198"/>
    </row>
    <row r="57" spans="3:10" hidden="1" x14ac:dyDescent="0.25">
      <c r="C57" s="10" t="s">
        <v>21</v>
      </c>
      <c r="D57" s="33">
        <v>3.5</v>
      </c>
      <c r="E57" s="12">
        <f>Datos!K$23*FFM!D57%</f>
        <v>15136574.040000001</v>
      </c>
      <c r="F57" s="37">
        <f t="shared" si="9"/>
        <v>10595601.828</v>
      </c>
      <c r="G57" s="37">
        <f t="shared" si="7"/>
        <v>680910.50365420687</v>
      </c>
      <c r="H57" s="37">
        <f t="shared" si="8"/>
        <v>15817484.543654207</v>
      </c>
      <c r="I57" s="37">
        <f t="shared" si="10"/>
        <v>11276512.331654206</v>
      </c>
      <c r="J57" s="198"/>
    </row>
    <row r="58" spans="3:10" hidden="1" x14ac:dyDescent="0.25">
      <c r="C58" s="10" t="s">
        <v>22</v>
      </c>
      <c r="D58" s="33">
        <v>39</v>
      </c>
      <c r="E58" s="12">
        <f>Datos!K$23*FFM!D58%</f>
        <v>168664682.16</v>
      </c>
      <c r="F58" s="37">
        <f t="shared" si="9"/>
        <v>118065277.51199999</v>
      </c>
      <c r="G58" s="37">
        <f t="shared" si="7"/>
        <v>8926200.9962803125</v>
      </c>
      <c r="H58" s="37">
        <f t="shared" si="8"/>
        <v>177590883.15628031</v>
      </c>
      <c r="I58" s="37">
        <f t="shared" si="10"/>
        <v>126991478.50828031</v>
      </c>
      <c r="J58" s="198"/>
    </row>
    <row r="59" spans="3:10" hidden="1" x14ac:dyDescent="0.25">
      <c r="C59" s="10" t="s">
        <v>23</v>
      </c>
      <c r="D59" s="33">
        <v>3.79</v>
      </c>
      <c r="E59" s="12">
        <f>Datos!K$23*FFM!D59%</f>
        <v>16390747.317600001</v>
      </c>
      <c r="F59" s="37">
        <f t="shared" si="9"/>
        <v>11473523.12232</v>
      </c>
      <c r="G59" s="37">
        <f t="shared" si="7"/>
        <v>355672.89905899833</v>
      </c>
      <c r="H59" s="37">
        <f t="shared" si="8"/>
        <v>16746420.216658998</v>
      </c>
      <c r="I59" s="37">
        <f t="shared" si="10"/>
        <v>11829196.021378998</v>
      </c>
      <c r="J59" s="198"/>
    </row>
    <row r="60" spans="3:10" hidden="1" x14ac:dyDescent="0.25">
      <c r="C60" s="10" t="s">
        <v>24</v>
      </c>
      <c r="D60" s="33">
        <v>3.1</v>
      </c>
      <c r="E60" s="12">
        <f>Datos!K$23*FFM!D60%</f>
        <v>13406679.864</v>
      </c>
      <c r="F60" s="37">
        <f t="shared" si="9"/>
        <v>9384675.9047999997</v>
      </c>
      <c r="G60" s="37">
        <f t="shared" si="7"/>
        <v>1095074.2425819649</v>
      </c>
      <c r="H60" s="37">
        <f t="shared" si="8"/>
        <v>14501754.106581965</v>
      </c>
      <c r="I60" s="37">
        <f t="shared" si="10"/>
        <v>10479750.147381965</v>
      </c>
      <c r="J60" s="198"/>
    </row>
    <row r="61" spans="3:10" hidden="1" x14ac:dyDescent="0.25">
      <c r="C61" s="17" t="s">
        <v>25</v>
      </c>
      <c r="D61" s="34">
        <f>SUM(D41:D60)</f>
        <v>100</v>
      </c>
      <c r="E61" s="19">
        <f>SUM(E41:E60)</f>
        <v>432473544.00000006</v>
      </c>
      <c r="F61" s="19">
        <f t="shared" si="9"/>
        <v>302731480.80000001</v>
      </c>
      <c r="G61" s="19">
        <f t="shared" si="7"/>
        <v>23468519.200000003</v>
      </c>
      <c r="H61" s="19">
        <f t="shared" si="8"/>
        <v>455942063.20000005</v>
      </c>
      <c r="I61" s="19">
        <f>SUM(I41:I60)</f>
        <v>326199999.99999994</v>
      </c>
      <c r="J61" s="198"/>
    </row>
    <row r="62" spans="3:10" x14ac:dyDescent="0.25">
      <c r="J62" s="198"/>
    </row>
    <row r="63" spans="3:10" x14ac:dyDescent="0.25">
      <c r="J63" s="198"/>
    </row>
    <row r="64" spans="3:10" x14ac:dyDescent="0.25">
      <c r="J64" s="198"/>
    </row>
    <row r="65" spans="10:10" x14ac:dyDescent="0.25">
      <c r="J65" s="198"/>
    </row>
    <row r="66" spans="10:10" x14ac:dyDescent="0.25">
      <c r="J66" s="198"/>
    </row>
    <row r="67" spans="10:10" x14ac:dyDescent="0.25">
      <c r="J67" s="198"/>
    </row>
    <row r="68" spans="10:10" x14ac:dyDescent="0.25">
      <c r="J68" s="198"/>
    </row>
    <row r="69" spans="10:10" x14ac:dyDescent="0.25">
      <c r="J69" s="198"/>
    </row>
    <row r="70" spans="10:10" x14ac:dyDescent="0.25">
      <c r="J70" s="198"/>
    </row>
    <row r="71" spans="10:10" x14ac:dyDescent="0.25">
      <c r="J71" s="198"/>
    </row>
    <row r="72" spans="10:10" x14ac:dyDescent="0.25">
      <c r="J72" s="198"/>
    </row>
    <row r="73" spans="10:10" x14ac:dyDescent="0.25">
      <c r="J73" s="198"/>
    </row>
    <row r="74" spans="10:10" x14ac:dyDescent="0.25">
      <c r="J74" s="198"/>
    </row>
    <row r="75" spans="10:10" x14ac:dyDescent="0.25">
      <c r="J75" s="198"/>
    </row>
    <row r="76" spans="10:10" x14ac:dyDescent="0.25">
      <c r="J76" s="198"/>
    </row>
    <row r="77" spans="10:10" x14ac:dyDescent="0.25">
      <c r="J77" s="198"/>
    </row>
    <row r="78" spans="10:10" x14ac:dyDescent="0.25">
      <c r="J78" s="198"/>
    </row>
    <row r="79" spans="10:10" x14ac:dyDescent="0.25">
      <c r="J79" s="198"/>
    </row>
    <row r="80" spans="10:10" x14ac:dyDescent="0.25">
      <c r="J80" s="54"/>
    </row>
    <row r="81" spans="10:10" x14ac:dyDescent="0.25">
      <c r="J81" s="54"/>
    </row>
  </sheetData>
  <mergeCells count="13">
    <mergeCell ref="C37:C40"/>
    <mergeCell ref="C5:C9"/>
    <mergeCell ref="C4:O4"/>
    <mergeCell ref="I6:J6"/>
    <mergeCell ref="I7:J7"/>
    <mergeCell ref="L6:M6"/>
    <mergeCell ref="L7:M7"/>
    <mergeCell ref="H5:O5"/>
    <mergeCell ref="B4:B9"/>
    <mergeCell ref="C3:O3"/>
    <mergeCell ref="D5:E5"/>
    <mergeCell ref="F5:G5"/>
    <mergeCell ref="C35:I35"/>
  </mergeCells>
  <pageMargins left="0.70866141732283472" right="0.70866141732283472" top="0.74803149606299213" bottom="0.74803149606299213" header="0.31496062992125984" footer="0.31496062992125984"/>
  <pageSetup paperSize="5" scale="67" orientation="landscape" r:id="rId1"/>
  <ignoredErrors>
    <ignoredError sqref="E8 D9:G9 H8 I9:J9 K8 L9:M9 N8" numberStoredAsText="1"/>
    <ignoredError sqref="G30 J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H29"/>
  <sheetViews>
    <sheetView workbookViewId="0">
      <selection activeCell="B4" sqref="B4:B7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2.5703125" customWidth="1"/>
    <col min="4" max="4" width="16.85546875" customWidth="1"/>
    <col min="5" max="5" width="13.140625" style="1" customWidth="1"/>
    <col min="6" max="6" width="16.42578125" style="72" customWidth="1"/>
    <col min="7" max="7" width="17.7109375" style="72" customWidth="1"/>
    <col min="8" max="8" width="18.42578125" customWidth="1"/>
    <col min="9" max="9" width="19" customWidth="1"/>
    <col min="10" max="10" width="12.85546875" customWidth="1"/>
  </cols>
  <sheetData>
    <row r="1" spans="2:8" x14ac:dyDescent="0.25">
      <c r="G1" s="508"/>
    </row>
    <row r="2" spans="2:8" ht="15.75" thickBot="1" x14ac:dyDescent="0.3">
      <c r="B2" s="2"/>
      <c r="C2" s="2"/>
      <c r="D2" s="2"/>
    </row>
    <row r="3" spans="2:8" ht="15.75" thickBot="1" x14ac:dyDescent="0.3">
      <c r="B3" s="778" t="s">
        <v>375</v>
      </c>
      <c r="C3" s="779"/>
      <c r="D3" s="779"/>
      <c r="E3" s="779"/>
      <c r="F3" s="779"/>
      <c r="G3" s="780"/>
    </row>
    <row r="4" spans="2:8" x14ac:dyDescent="0.25">
      <c r="B4" s="775" t="s">
        <v>325</v>
      </c>
      <c r="C4" s="135" t="s">
        <v>62</v>
      </c>
      <c r="D4" s="135" t="s">
        <v>184</v>
      </c>
      <c r="E4" s="776" t="s">
        <v>345</v>
      </c>
      <c r="F4" s="220" t="s">
        <v>346</v>
      </c>
      <c r="G4" s="221" t="s">
        <v>63</v>
      </c>
    </row>
    <row r="5" spans="2:8" x14ac:dyDescent="0.25">
      <c r="B5" s="658"/>
      <c r="C5" s="5" t="s">
        <v>63</v>
      </c>
      <c r="D5" s="5" t="s">
        <v>65</v>
      </c>
      <c r="E5" s="777"/>
      <c r="F5" s="55" t="s">
        <v>272</v>
      </c>
      <c r="G5" s="222" t="s">
        <v>183</v>
      </c>
    </row>
    <row r="6" spans="2:8" x14ac:dyDescent="0.25">
      <c r="B6" s="658"/>
      <c r="C6" s="71">
        <v>2014</v>
      </c>
      <c r="D6" s="71" t="s">
        <v>61</v>
      </c>
      <c r="E6" s="777"/>
      <c r="F6" s="55" t="s">
        <v>65</v>
      </c>
      <c r="G6" s="222" t="s">
        <v>347</v>
      </c>
    </row>
    <row r="7" spans="2:8" ht="15.75" thickBot="1" x14ac:dyDescent="0.3">
      <c r="B7" s="658"/>
      <c r="C7" s="71" t="s">
        <v>4</v>
      </c>
      <c r="D7" s="71" t="s">
        <v>5</v>
      </c>
      <c r="E7" s="777"/>
      <c r="F7" s="121" t="s">
        <v>243</v>
      </c>
      <c r="G7" s="223" t="s">
        <v>348</v>
      </c>
    </row>
    <row r="8" spans="2:8" x14ac:dyDescent="0.25">
      <c r="B8" s="108" t="s">
        <v>6</v>
      </c>
      <c r="C8" s="127">
        <v>3.94</v>
      </c>
      <c r="D8" s="224">
        <f>Datos!K$49*'IEPS TyA'!C8%*22.5%</f>
        <v>812034</v>
      </c>
      <c r="E8" s="131">
        <v>0.05</v>
      </c>
      <c r="F8" s="283">
        <f>Datos!$K$50*'IEPS TyA'!E8*22.5%</f>
        <v>4500</v>
      </c>
      <c r="G8" s="227">
        <f t="shared" ref="G8:G27" si="0">D8+F8</f>
        <v>816534</v>
      </c>
      <c r="H8" s="35"/>
    </row>
    <row r="9" spans="2:8" x14ac:dyDescent="0.25">
      <c r="B9" s="117" t="s">
        <v>7</v>
      </c>
      <c r="C9" s="128">
        <v>5.78</v>
      </c>
      <c r="D9" s="225">
        <f>Datos!K$49*'IEPS TyA'!C9%*22.5%</f>
        <v>1191258</v>
      </c>
      <c r="E9" s="132">
        <v>0.05</v>
      </c>
      <c r="F9" s="284">
        <f>Datos!$K$50*'IEPS TyA'!E9*22.5%</f>
        <v>4500</v>
      </c>
      <c r="G9" s="228">
        <f t="shared" si="0"/>
        <v>1195758</v>
      </c>
      <c r="H9" s="35"/>
    </row>
    <row r="10" spans="2:8" x14ac:dyDescent="0.25">
      <c r="B10" s="117" t="s">
        <v>8</v>
      </c>
      <c r="C10" s="128">
        <v>6.12</v>
      </c>
      <c r="D10" s="225">
        <f>Datos!K$49*'IEPS TyA'!C10%*22.5%</f>
        <v>1261332</v>
      </c>
      <c r="E10" s="132">
        <v>0.05</v>
      </c>
      <c r="F10" s="284">
        <f>Datos!$K$50*'IEPS TyA'!E10*22.5%</f>
        <v>4500</v>
      </c>
      <c r="G10" s="228">
        <f t="shared" si="0"/>
        <v>1265832</v>
      </c>
      <c r="H10" s="35"/>
    </row>
    <row r="11" spans="2:8" x14ac:dyDescent="0.25">
      <c r="B11" s="117" t="s">
        <v>9</v>
      </c>
      <c r="C11" s="128">
        <v>5.08</v>
      </c>
      <c r="D11" s="225">
        <f>Datos!K$49*'IEPS TyA'!C11%*22.5%</f>
        <v>1046988</v>
      </c>
      <c r="E11" s="132">
        <v>0.05</v>
      </c>
      <c r="F11" s="284">
        <f>Datos!$K$50*'IEPS TyA'!E11*22.5%</f>
        <v>4500</v>
      </c>
      <c r="G11" s="228">
        <f t="shared" si="0"/>
        <v>1051488</v>
      </c>
      <c r="H11" s="35"/>
    </row>
    <row r="12" spans="2:8" x14ac:dyDescent="0.25">
      <c r="B12" s="117" t="s">
        <v>10</v>
      </c>
      <c r="C12" s="128">
        <v>3.07</v>
      </c>
      <c r="D12" s="225">
        <f>Datos!K$49*'IEPS TyA'!C12%*22.5%</f>
        <v>632727</v>
      </c>
      <c r="E12" s="132">
        <v>0.05</v>
      </c>
      <c r="F12" s="284">
        <f>Datos!$K$50*'IEPS TyA'!E12*22.5%</f>
        <v>4500</v>
      </c>
      <c r="G12" s="228">
        <f t="shared" si="0"/>
        <v>637227</v>
      </c>
      <c r="H12" s="35"/>
    </row>
    <row r="13" spans="2:8" x14ac:dyDescent="0.25">
      <c r="B13" s="117" t="s">
        <v>11</v>
      </c>
      <c r="C13" s="128">
        <v>9.51</v>
      </c>
      <c r="D13" s="225">
        <f>Datos!K$49*'IEPS TyA'!C13%*22.5%</f>
        <v>1960011</v>
      </c>
      <c r="E13" s="132">
        <v>0.05</v>
      </c>
      <c r="F13" s="284">
        <f>Datos!$K$50*'IEPS TyA'!E13*22.5%</f>
        <v>4500</v>
      </c>
      <c r="G13" s="228">
        <f t="shared" si="0"/>
        <v>1964511</v>
      </c>
      <c r="H13" s="35"/>
    </row>
    <row r="14" spans="2:8" x14ac:dyDescent="0.25">
      <c r="B14" s="117" t="s">
        <v>12</v>
      </c>
      <c r="C14" s="128">
        <v>9.33</v>
      </c>
      <c r="D14" s="225">
        <f>Datos!K$49*'IEPS TyA'!C14%*22.5%</f>
        <v>1922913</v>
      </c>
      <c r="E14" s="132">
        <v>0.05</v>
      </c>
      <c r="F14" s="284">
        <f>Datos!$K$50*'IEPS TyA'!E14*22.5%</f>
        <v>4500</v>
      </c>
      <c r="G14" s="228">
        <f t="shared" si="0"/>
        <v>1927413</v>
      </c>
      <c r="H14" s="35"/>
    </row>
    <row r="15" spans="2:8" x14ac:dyDescent="0.25">
      <c r="B15" s="117" t="s">
        <v>13</v>
      </c>
      <c r="C15" s="128">
        <v>4.5199999999999996</v>
      </c>
      <c r="D15" s="225">
        <f>Datos!K$49*'IEPS TyA'!C15%*22.5%</f>
        <v>931571.99999999988</v>
      </c>
      <c r="E15" s="132">
        <v>0.05</v>
      </c>
      <c r="F15" s="284">
        <f>Datos!$K$50*'IEPS TyA'!E15*22.5%</f>
        <v>4500</v>
      </c>
      <c r="G15" s="228">
        <f t="shared" si="0"/>
        <v>936071.99999999988</v>
      </c>
      <c r="H15" s="35"/>
    </row>
    <row r="16" spans="2:8" x14ac:dyDescent="0.25">
      <c r="B16" s="117" t="s">
        <v>14</v>
      </c>
      <c r="C16" s="128">
        <v>5.08</v>
      </c>
      <c r="D16" s="225">
        <f>Datos!K$49*'IEPS TyA'!C16%*22.5%</f>
        <v>1046988</v>
      </c>
      <c r="E16" s="132">
        <v>0.05</v>
      </c>
      <c r="F16" s="284">
        <f>Datos!$K$50*'IEPS TyA'!E16*22.5%</f>
        <v>4500</v>
      </c>
      <c r="G16" s="228">
        <f t="shared" si="0"/>
        <v>1051488</v>
      </c>
      <c r="H16" s="35"/>
    </row>
    <row r="17" spans="2:8" x14ac:dyDescent="0.25">
      <c r="B17" s="117" t="s">
        <v>15</v>
      </c>
      <c r="C17" s="128">
        <v>8.92</v>
      </c>
      <c r="D17" s="225">
        <f>Datos!K$49*'IEPS TyA'!C17%*22.5%</f>
        <v>1838412</v>
      </c>
      <c r="E17" s="132">
        <v>0.05</v>
      </c>
      <c r="F17" s="284">
        <f>Datos!$K$50*'IEPS TyA'!E17*22.5%</f>
        <v>4500</v>
      </c>
      <c r="G17" s="228">
        <f t="shared" si="0"/>
        <v>1842912</v>
      </c>
      <c r="H17" s="35"/>
    </row>
    <row r="18" spans="2:8" x14ac:dyDescent="0.25">
      <c r="B18" s="117" t="s">
        <v>16</v>
      </c>
      <c r="C18" s="128">
        <v>5.0199999999999996</v>
      </c>
      <c r="D18" s="225">
        <f>Datos!K$49*'IEPS TyA'!C18%*22.5%</f>
        <v>1034621.9999999998</v>
      </c>
      <c r="E18" s="132">
        <v>0.05</v>
      </c>
      <c r="F18" s="284">
        <f>Datos!$K$50*'IEPS TyA'!E18*22.5%</f>
        <v>4500</v>
      </c>
      <c r="G18" s="228">
        <f t="shared" si="0"/>
        <v>1039121.9999999998</v>
      </c>
      <c r="H18" s="35"/>
    </row>
    <row r="19" spans="2:8" x14ac:dyDescent="0.25">
      <c r="B19" s="117" t="s">
        <v>17</v>
      </c>
      <c r="C19" s="128">
        <v>4.29</v>
      </c>
      <c r="D19" s="225">
        <f>Datos!K$49*'IEPS TyA'!C19%*22.5%</f>
        <v>884169</v>
      </c>
      <c r="E19" s="132">
        <v>0.05</v>
      </c>
      <c r="F19" s="284">
        <f>Datos!$K$50*'IEPS TyA'!E19*22.5%</f>
        <v>4500</v>
      </c>
      <c r="G19" s="228">
        <f t="shared" si="0"/>
        <v>888669</v>
      </c>
      <c r="H19" s="35"/>
    </row>
    <row r="20" spans="2:8" x14ac:dyDescent="0.25">
      <c r="B20" s="117" t="s">
        <v>18</v>
      </c>
      <c r="C20" s="128">
        <v>3.04</v>
      </c>
      <c r="D20" s="225">
        <f>Datos!K$49*'IEPS TyA'!C20%*22.5%</f>
        <v>626544</v>
      </c>
      <c r="E20" s="132">
        <v>0.05</v>
      </c>
      <c r="F20" s="284">
        <f>Datos!$K$50*'IEPS TyA'!E20*22.5%</f>
        <v>4500</v>
      </c>
      <c r="G20" s="228">
        <f t="shared" si="0"/>
        <v>631044</v>
      </c>
      <c r="H20" s="35"/>
    </row>
    <row r="21" spans="2:8" x14ac:dyDescent="0.25">
      <c r="B21" s="117" t="s">
        <v>19</v>
      </c>
      <c r="C21" s="128">
        <v>6.7</v>
      </c>
      <c r="D21" s="225">
        <f>Datos!K$49*'IEPS TyA'!C21%*22.5%</f>
        <v>1380870</v>
      </c>
      <c r="E21" s="132">
        <v>0.05</v>
      </c>
      <c r="F21" s="284">
        <f>Datos!$K$50*'IEPS TyA'!E21*22.5%</f>
        <v>4500</v>
      </c>
      <c r="G21" s="228">
        <f t="shared" si="0"/>
        <v>1385370</v>
      </c>
      <c r="H21" s="35"/>
    </row>
    <row r="22" spans="2:8" x14ac:dyDescent="0.25">
      <c r="B22" s="117" t="s">
        <v>20</v>
      </c>
      <c r="C22" s="128">
        <v>5.08</v>
      </c>
      <c r="D22" s="225">
        <f>Datos!K$49*'IEPS TyA'!C22%*22.5%</f>
        <v>1046988</v>
      </c>
      <c r="E22" s="132">
        <v>0.05</v>
      </c>
      <c r="F22" s="284">
        <f>Datos!$K$50*'IEPS TyA'!E22*22.5%</f>
        <v>4500</v>
      </c>
      <c r="G22" s="228">
        <f t="shared" si="0"/>
        <v>1051488</v>
      </c>
      <c r="H22" s="35"/>
    </row>
    <row r="23" spans="2:8" x14ac:dyDescent="0.25">
      <c r="B23" s="117" t="s">
        <v>27</v>
      </c>
      <c r="C23" s="128">
        <v>1.7</v>
      </c>
      <c r="D23" s="225">
        <f>Datos!K$49*'IEPS TyA'!C23%*22.5%</f>
        <v>350370</v>
      </c>
      <c r="E23" s="132">
        <v>0.05</v>
      </c>
      <c r="F23" s="284">
        <f>Datos!$K$50*'IEPS TyA'!E23*22.5%</f>
        <v>4500</v>
      </c>
      <c r="G23" s="228">
        <f t="shared" si="0"/>
        <v>354870</v>
      </c>
      <c r="H23" s="35"/>
    </row>
    <row r="24" spans="2:8" x14ac:dyDescent="0.25">
      <c r="B24" s="117" t="s">
        <v>21</v>
      </c>
      <c r="C24" s="128">
        <v>4.08</v>
      </c>
      <c r="D24" s="225">
        <f>Datos!K$49*'IEPS TyA'!C24%*22.5%</f>
        <v>840888.00000000012</v>
      </c>
      <c r="E24" s="132">
        <v>0.05</v>
      </c>
      <c r="F24" s="284">
        <f>Datos!$K$50*'IEPS TyA'!E24*22.5%</f>
        <v>4500</v>
      </c>
      <c r="G24" s="228">
        <f t="shared" si="0"/>
        <v>845388.00000000012</v>
      </c>
      <c r="H24" s="35"/>
    </row>
    <row r="25" spans="2:8" x14ac:dyDescent="0.25">
      <c r="B25" s="117" t="s">
        <v>22</v>
      </c>
      <c r="C25" s="128">
        <v>0.37</v>
      </c>
      <c r="D25" s="225">
        <f>Datos!K$49*'IEPS TyA'!C25%*22.5%</f>
        <v>76257</v>
      </c>
      <c r="E25" s="132">
        <v>0.05</v>
      </c>
      <c r="F25" s="284">
        <f>Datos!$K$50*'IEPS TyA'!E25*22.5%</f>
        <v>4500</v>
      </c>
      <c r="G25" s="228">
        <f t="shared" si="0"/>
        <v>80757</v>
      </c>
      <c r="H25" s="35"/>
    </row>
    <row r="26" spans="2:8" x14ac:dyDescent="0.25">
      <c r="B26" s="117" t="s">
        <v>23</v>
      </c>
      <c r="C26" s="128">
        <v>3.77</v>
      </c>
      <c r="D26" s="225">
        <f>Datos!K$49*'IEPS TyA'!C26%*22.5%</f>
        <v>776996.99999999988</v>
      </c>
      <c r="E26" s="132">
        <v>0.05</v>
      </c>
      <c r="F26" s="284">
        <f>Datos!$K$50*'IEPS TyA'!E26*22.5%</f>
        <v>4500</v>
      </c>
      <c r="G26" s="228">
        <f t="shared" si="0"/>
        <v>781496.99999999988</v>
      </c>
      <c r="H26" s="35"/>
    </row>
    <row r="27" spans="2:8" ht="15.75" thickBot="1" x14ac:dyDescent="0.3">
      <c r="B27" s="118" t="s">
        <v>24</v>
      </c>
      <c r="C27" s="129">
        <v>4.5999999999999996</v>
      </c>
      <c r="D27" s="226">
        <f>Datos!K$49*'IEPS TyA'!C27%*22.5%</f>
        <v>948060</v>
      </c>
      <c r="E27" s="133">
        <v>0.05</v>
      </c>
      <c r="F27" s="285">
        <f>Datos!$K$50*'IEPS TyA'!E27*22.5%</f>
        <v>4500</v>
      </c>
      <c r="G27" s="228">
        <f t="shared" si="0"/>
        <v>952560</v>
      </c>
      <c r="H27" s="35"/>
    </row>
    <row r="28" spans="2:8" ht="15.75" thickBot="1" x14ac:dyDescent="0.3">
      <c r="B28" s="126" t="s">
        <v>25</v>
      </c>
      <c r="C28" s="130">
        <f t="shared" ref="C28:G28" si="1">SUM(C8:C27)</f>
        <v>100</v>
      </c>
      <c r="D28" s="531">
        <f>Datos!K$49*'IEPS TyA'!C28%*22.5%</f>
        <v>20610000</v>
      </c>
      <c r="E28" s="565">
        <v>100</v>
      </c>
      <c r="F28" s="532">
        <f>Datos!L50</f>
        <v>90000</v>
      </c>
      <c r="G28" s="282">
        <f t="shared" si="1"/>
        <v>20700000</v>
      </c>
      <c r="H28" s="35"/>
    </row>
    <row r="29" spans="2:8" x14ac:dyDescent="0.25">
      <c r="B29" s="53" t="s">
        <v>26</v>
      </c>
      <c r="C29" s="2"/>
      <c r="D29" s="2"/>
      <c r="E29" s="3"/>
    </row>
  </sheetData>
  <mergeCells count="3">
    <mergeCell ref="B4:B7"/>
    <mergeCell ref="E4:E7"/>
    <mergeCell ref="B3:G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D7 C7 F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J29"/>
  <sheetViews>
    <sheetView workbookViewId="0">
      <selection activeCell="F37" sqref="F37"/>
    </sheetView>
  </sheetViews>
  <sheetFormatPr baseColWidth="10" defaultColWidth="11.42578125" defaultRowHeight="14.25" x14ac:dyDescent="0.2"/>
  <cols>
    <col min="1" max="1" width="3.5703125" style="2" customWidth="1"/>
    <col min="2" max="2" width="20.42578125" style="2" customWidth="1"/>
    <col min="3" max="3" width="14.28515625" style="2" customWidth="1"/>
    <col min="4" max="4" width="14" style="2" customWidth="1"/>
    <col min="5" max="5" width="12.5703125" style="2" customWidth="1"/>
    <col min="6" max="6" width="14.42578125" style="2" customWidth="1"/>
    <col min="7" max="7" width="15.85546875" style="2" customWidth="1"/>
    <col min="8" max="8" width="16.42578125" style="3" customWidth="1"/>
    <col min="9" max="9" width="11.5703125" style="2" bestFit="1" customWidth="1"/>
    <col min="10" max="16384" width="11.42578125" style="2"/>
  </cols>
  <sheetData>
    <row r="1" spans="2:10" ht="15" x14ac:dyDescent="0.25">
      <c r="H1" s="508"/>
    </row>
    <row r="2" spans="2:10" ht="15.75" thickBot="1" x14ac:dyDescent="0.3">
      <c r="H2" s="101"/>
    </row>
    <row r="3" spans="2:10" ht="21.75" customHeight="1" thickBot="1" x14ac:dyDescent="0.25">
      <c r="B3" s="783" t="s">
        <v>376</v>
      </c>
      <c r="C3" s="784"/>
      <c r="D3" s="784"/>
      <c r="E3" s="784"/>
      <c r="F3" s="784"/>
      <c r="G3" s="784"/>
      <c r="H3" s="785"/>
    </row>
    <row r="4" spans="2:10" ht="15" x14ac:dyDescent="0.25">
      <c r="B4" s="673" t="s">
        <v>325</v>
      </c>
      <c r="C4" s="137" t="s">
        <v>62</v>
      </c>
      <c r="D4" s="141" t="s">
        <v>64</v>
      </c>
      <c r="E4" s="673" t="s">
        <v>1</v>
      </c>
      <c r="F4" s="781"/>
      <c r="G4" s="143" t="s">
        <v>165</v>
      </c>
      <c r="H4" s="144" t="s">
        <v>63</v>
      </c>
      <c r="I4" s="42"/>
      <c r="J4" s="42"/>
    </row>
    <row r="5" spans="2:10" ht="15.75" thickBot="1" x14ac:dyDescent="0.3">
      <c r="B5" s="674"/>
      <c r="C5" s="138" t="s">
        <v>63</v>
      </c>
      <c r="D5" s="103" t="s">
        <v>65</v>
      </c>
      <c r="E5" s="674">
        <v>2010</v>
      </c>
      <c r="F5" s="782"/>
      <c r="G5" s="102" t="s">
        <v>166</v>
      </c>
      <c r="H5" s="145" t="s">
        <v>349</v>
      </c>
      <c r="I5" s="42"/>
      <c r="J5" s="42"/>
    </row>
    <row r="6" spans="2:10" ht="15" x14ac:dyDescent="0.25">
      <c r="B6" s="674"/>
      <c r="C6" s="139">
        <v>2014</v>
      </c>
      <c r="D6" s="84" t="s">
        <v>341</v>
      </c>
      <c r="E6" s="146" t="s">
        <v>85</v>
      </c>
      <c r="F6" s="137" t="s">
        <v>84</v>
      </c>
      <c r="G6" s="102" t="s">
        <v>242</v>
      </c>
      <c r="H6" s="145" t="s">
        <v>350</v>
      </c>
      <c r="I6" s="42"/>
      <c r="J6" s="42"/>
    </row>
    <row r="7" spans="2:10" ht="15.75" thickBot="1" x14ac:dyDescent="0.3">
      <c r="B7" s="675"/>
      <c r="C7" s="140" t="s">
        <v>4</v>
      </c>
      <c r="D7" s="142" t="s">
        <v>5</v>
      </c>
      <c r="E7" s="147" t="s">
        <v>30</v>
      </c>
      <c r="F7" s="140" t="s">
        <v>28</v>
      </c>
      <c r="G7" s="142" t="s">
        <v>98</v>
      </c>
      <c r="H7" s="140" t="s">
        <v>105</v>
      </c>
      <c r="I7" s="84"/>
      <c r="J7" s="42"/>
    </row>
    <row r="8" spans="2:10" x14ac:dyDescent="0.2">
      <c r="B8" s="117" t="s">
        <v>6</v>
      </c>
      <c r="C8" s="128">
        <v>3.65</v>
      </c>
      <c r="D8" s="225">
        <f>Datos!K$54*'IEPS GyD'!C8%*22.5%</f>
        <v>1418873.625</v>
      </c>
      <c r="E8" s="258">
        <v>36572</v>
      </c>
      <c r="F8" s="291">
        <v>3.3707564846877225</v>
      </c>
      <c r="G8" s="242">
        <f>Datos!K$55*'IEPS GyD'!F8%*22.5%</f>
        <v>313142.14822406706</v>
      </c>
      <c r="H8" s="243">
        <f>D8+G8</f>
        <v>1732015.7732240669</v>
      </c>
      <c r="I8" s="85"/>
      <c r="J8" s="31"/>
    </row>
    <row r="9" spans="2:10" x14ac:dyDescent="0.2">
      <c r="B9" s="117" t="s">
        <v>7</v>
      </c>
      <c r="C9" s="128">
        <v>1.49</v>
      </c>
      <c r="D9" s="225">
        <f>Datos!K$54*'IEPS GyD'!C9%*22.5%</f>
        <v>579211.42500000005</v>
      </c>
      <c r="E9" s="259">
        <v>15229</v>
      </c>
      <c r="F9" s="291">
        <v>1.4036216369164749</v>
      </c>
      <c r="G9" s="242">
        <f>Datos!K$55*'IEPS GyD'!F9%*22.5%</f>
        <v>130395.97985629215</v>
      </c>
      <c r="H9" s="243">
        <f t="shared" ref="H9:H27" si="0">D9+G9</f>
        <v>709607.40485629218</v>
      </c>
      <c r="I9" s="85"/>
      <c r="J9" s="31"/>
    </row>
    <row r="10" spans="2:10" x14ac:dyDescent="0.2">
      <c r="B10" s="117" t="s">
        <v>8</v>
      </c>
      <c r="C10" s="128">
        <v>1.0900000000000001</v>
      </c>
      <c r="D10" s="225">
        <f>Datos!K$54*'IEPS GyD'!C10%*22.5%</f>
        <v>423718.42499999999</v>
      </c>
      <c r="E10" s="255">
        <v>11188</v>
      </c>
      <c r="F10" s="291">
        <v>1.0311720319010782</v>
      </c>
      <c r="G10" s="242">
        <f>Datos!K$55*'IEPS GyD'!F10%*22.5%</f>
        <v>95795.536320979474</v>
      </c>
      <c r="H10" s="243">
        <f t="shared" si="0"/>
        <v>519513.96132097946</v>
      </c>
      <c r="I10" s="85"/>
      <c r="J10" s="31"/>
    </row>
    <row r="11" spans="2:10" x14ac:dyDescent="0.2">
      <c r="B11" s="117" t="s">
        <v>9</v>
      </c>
      <c r="C11" s="128">
        <v>8.82</v>
      </c>
      <c r="D11" s="225">
        <f>Datos!K$54*'IEPS GyD'!C11%*22.5%</f>
        <v>3428620.65</v>
      </c>
      <c r="E11" s="255">
        <v>124205</v>
      </c>
      <c r="F11" s="291">
        <v>11.447687005923617</v>
      </c>
      <c r="G11" s="242">
        <f>Datos!K$55*'IEPS GyD'!F11%*22.5%</f>
        <v>1063486.2878751573</v>
      </c>
      <c r="H11" s="243">
        <f t="shared" si="0"/>
        <v>4492106.9378751572</v>
      </c>
      <c r="I11" s="86"/>
      <c r="J11" s="31"/>
    </row>
    <row r="12" spans="2:10" x14ac:dyDescent="0.2">
      <c r="B12" s="117" t="s">
        <v>10</v>
      </c>
      <c r="C12" s="128">
        <v>6.63</v>
      </c>
      <c r="D12" s="225">
        <f>Datos!K$54*'IEPS GyD'!C12%*22.5%</f>
        <v>2577296.4750000001</v>
      </c>
      <c r="E12" s="255">
        <v>70399</v>
      </c>
      <c r="F12" s="291">
        <v>6.4885126808905982</v>
      </c>
      <c r="G12" s="242">
        <f>Datos!K$55*'IEPS GyD'!F12%*22.5%</f>
        <v>602780.6544029885</v>
      </c>
      <c r="H12" s="243">
        <f t="shared" si="0"/>
        <v>3180077.1294029886</v>
      </c>
      <c r="I12" s="85"/>
      <c r="J12" s="31"/>
    </row>
    <row r="13" spans="2:10" x14ac:dyDescent="0.2">
      <c r="B13" s="117" t="s">
        <v>11</v>
      </c>
      <c r="C13" s="128">
        <v>3.22</v>
      </c>
      <c r="D13" s="225">
        <f>Datos!K$54*'IEPS GyD'!C13%*22.5%</f>
        <v>1251718.6500000001</v>
      </c>
      <c r="E13" s="255">
        <v>34300</v>
      </c>
      <c r="F13" s="291">
        <v>3.1613515100292262</v>
      </c>
      <c r="G13" s="242">
        <f>Datos!K$55*'IEPS GyD'!F13%*22.5%</f>
        <v>293688.49622895924</v>
      </c>
      <c r="H13" s="243">
        <f t="shared" si="0"/>
        <v>1545407.1462289593</v>
      </c>
      <c r="I13" s="85"/>
      <c r="J13" s="31"/>
    </row>
    <row r="14" spans="2:10" x14ac:dyDescent="0.2">
      <c r="B14" s="117" t="s">
        <v>12</v>
      </c>
      <c r="C14" s="128">
        <v>1.1100000000000001</v>
      </c>
      <c r="D14" s="225">
        <f>Datos!K$54*'IEPS GyD'!C14%*22.5%</f>
        <v>431493.07500000001</v>
      </c>
      <c r="E14" s="255">
        <v>11400</v>
      </c>
      <c r="F14" s="291">
        <v>1.050711580592804</v>
      </c>
      <c r="G14" s="242">
        <f>Datos!K$55*'IEPS GyD'!F14%*22.5%</f>
        <v>97610.753848691995</v>
      </c>
      <c r="H14" s="243">
        <f t="shared" si="0"/>
        <v>529103.82884869201</v>
      </c>
      <c r="I14" s="85"/>
      <c r="J14" s="31"/>
    </row>
    <row r="15" spans="2:10" x14ac:dyDescent="0.2">
      <c r="B15" s="117" t="s">
        <v>13</v>
      </c>
      <c r="C15" s="128">
        <v>2.71</v>
      </c>
      <c r="D15" s="225">
        <f>Datos!K$54*'IEPS GyD'!C15%*22.5%</f>
        <v>1053465.075</v>
      </c>
      <c r="E15" s="255">
        <v>27273</v>
      </c>
      <c r="F15" s="291">
        <v>2.5136892050445216</v>
      </c>
      <c r="G15" s="242">
        <f>Datos!K$55*'IEPS GyD'!F15%*22.5%</f>
        <v>233520.88506275235</v>
      </c>
      <c r="H15" s="243">
        <f t="shared" si="0"/>
        <v>1286985.9600627522</v>
      </c>
      <c r="I15" s="85"/>
      <c r="J15" s="31"/>
    </row>
    <row r="16" spans="2:10" x14ac:dyDescent="0.2">
      <c r="B16" s="117" t="s">
        <v>14</v>
      </c>
      <c r="C16" s="128">
        <v>1.69</v>
      </c>
      <c r="D16" s="225">
        <f>Datos!K$54*'IEPS GyD'!C16%*22.5%</f>
        <v>656957.92499999993</v>
      </c>
      <c r="E16" s="255">
        <v>17698</v>
      </c>
      <c r="F16" s="291">
        <v>1.6311836450290742</v>
      </c>
      <c r="G16" s="242">
        <f>Datos!K$55*'IEPS GyD'!F16%*22.5%</f>
        <v>151536.41417667991</v>
      </c>
      <c r="H16" s="243">
        <f t="shared" si="0"/>
        <v>808494.33917667984</v>
      </c>
      <c r="I16" s="85"/>
      <c r="J16" s="31"/>
    </row>
    <row r="17" spans="2:10" x14ac:dyDescent="0.2">
      <c r="B17" s="117" t="s">
        <v>15</v>
      </c>
      <c r="C17" s="128">
        <v>1.27</v>
      </c>
      <c r="D17" s="225">
        <f>Datos!K$54*'IEPS GyD'!C17%*22.5%</f>
        <v>493690.27500000002</v>
      </c>
      <c r="E17" s="255">
        <v>13600</v>
      </c>
      <c r="F17" s="291">
        <v>1.2534804821107137</v>
      </c>
      <c r="G17" s="242">
        <f>Datos!K$55*'IEPS GyD'!F17%*22.5%</f>
        <v>116447.91687212379</v>
      </c>
      <c r="H17" s="243">
        <f t="shared" si="0"/>
        <v>610138.19187212386</v>
      </c>
      <c r="I17" s="85"/>
      <c r="J17" s="31"/>
    </row>
    <row r="18" spans="2:10" x14ac:dyDescent="0.2">
      <c r="B18" s="117" t="s">
        <v>16</v>
      </c>
      <c r="C18" s="128">
        <v>3.39</v>
      </c>
      <c r="D18" s="225">
        <f>Datos!K$54*'IEPS GyD'!C18%*22.5%</f>
        <v>1317803.175</v>
      </c>
      <c r="E18" s="255">
        <v>34393</v>
      </c>
      <c r="F18" s="291">
        <v>3.1699231045024834</v>
      </c>
      <c r="G18" s="242">
        <f>Datos!K$55*'IEPS GyD'!F18%*22.5%</f>
        <v>294484.7944840407</v>
      </c>
      <c r="H18" s="243">
        <f t="shared" si="0"/>
        <v>1612287.9694840407</v>
      </c>
      <c r="I18" s="85"/>
      <c r="J18" s="31"/>
    </row>
    <row r="19" spans="2:10" x14ac:dyDescent="0.2">
      <c r="B19" s="117" t="s">
        <v>17</v>
      </c>
      <c r="C19" s="128">
        <v>2.21</v>
      </c>
      <c r="D19" s="225">
        <f>Datos!K$54*'IEPS GyD'!C19%*22.5%</f>
        <v>859098.82499999995</v>
      </c>
      <c r="E19" s="255">
        <v>23469</v>
      </c>
      <c r="F19" s="291">
        <v>2.1630833407835541</v>
      </c>
      <c r="G19" s="242">
        <f>Datos!K$55*'IEPS GyD'!F19%*22.5%</f>
        <v>200949.71772587302</v>
      </c>
      <c r="H19" s="243">
        <f t="shared" si="0"/>
        <v>1060048.5427258729</v>
      </c>
      <c r="I19" s="85"/>
      <c r="J19" s="31"/>
    </row>
    <row r="20" spans="2:10" x14ac:dyDescent="0.2">
      <c r="B20" s="117" t="s">
        <v>18</v>
      </c>
      <c r="C20" s="128">
        <v>3.95</v>
      </c>
      <c r="D20" s="225">
        <f>Datos!K$54*'IEPS GyD'!C20%*22.5%</f>
        <v>1535493.375</v>
      </c>
      <c r="E20" s="255">
        <v>43120</v>
      </c>
      <c r="F20" s="291">
        <v>3.9742704697510276</v>
      </c>
      <c r="G20" s="242">
        <f>Datos!K$55*'IEPS GyD'!F20%*22.5%</f>
        <v>369208.39525926311</v>
      </c>
      <c r="H20" s="243">
        <f t="shared" si="0"/>
        <v>1904701.770259263</v>
      </c>
      <c r="I20" s="86"/>
      <c r="J20" s="31"/>
    </row>
    <row r="21" spans="2:10" x14ac:dyDescent="0.2">
      <c r="B21" s="117" t="s">
        <v>19</v>
      </c>
      <c r="C21" s="128">
        <v>0.75</v>
      </c>
      <c r="D21" s="225">
        <f>Datos!K$54*'IEPS GyD'!C21%*22.5%</f>
        <v>291549.375</v>
      </c>
      <c r="E21" s="255">
        <v>7510</v>
      </c>
      <c r="F21" s="291">
        <v>0.69217929563613667</v>
      </c>
      <c r="G21" s="242">
        <f>Datos!K$55*'IEPS GyD'!F21%*22.5%</f>
        <v>64303.224684533052</v>
      </c>
      <c r="H21" s="243">
        <f t="shared" si="0"/>
        <v>355852.59968453308</v>
      </c>
      <c r="I21" s="85"/>
      <c r="J21" s="31"/>
    </row>
    <row r="22" spans="2:10" x14ac:dyDescent="0.2">
      <c r="B22" s="117" t="s">
        <v>20</v>
      </c>
      <c r="C22" s="128">
        <v>2.2799999999999998</v>
      </c>
      <c r="D22" s="225">
        <f>Datos!K$54*'IEPS GyD'!C22%*22.5%</f>
        <v>886310.09999999986</v>
      </c>
      <c r="E22" s="255">
        <v>22412</v>
      </c>
      <c r="F22" s="291">
        <v>2.0656621003724496</v>
      </c>
      <c r="G22" s="242">
        <f>Datos!K$55*'IEPS GyD'!F22%*22.5%</f>
        <v>191899.31712779697</v>
      </c>
      <c r="H22" s="243">
        <f t="shared" si="0"/>
        <v>1078209.4171277969</v>
      </c>
      <c r="I22" s="85"/>
      <c r="J22" s="31"/>
    </row>
    <row r="23" spans="2:10" x14ac:dyDescent="0.2">
      <c r="B23" s="117" t="s">
        <v>27</v>
      </c>
      <c r="C23" s="128">
        <v>8.8800000000000008</v>
      </c>
      <c r="D23" s="225">
        <f>Datos!K$54*'IEPS GyD'!C23%*22.5%</f>
        <v>3451944.6</v>
      </c>
      <c r="E23" s="255">
        <v>93074</v>
      </c>
      <c r="F23" s="291">
        <v>8.5784148817626882</v>
      </c>
      <c r="G23" s="242">
        <f>Datos!K$55*'IEPS GyD'!F23%*22.5%</f>
        <v>796931.86874676845</v>
      </c>
      <c r="H23" s="243">
        <f t="shared" si="0"/>
        <v>4248876.4687467683</v>
      </c>
      <c r="I23" s="85"/>
      <c r="J23" s="31"/>
    </row>
    <row r="24" spans="2:10" x14ac:dyDescent="0.2">
      <c r="B24" s="117" t="s">
        <v>21</v>
      </c>
      <c r="C24" s="128">
        <v>3.92</v>
      </c>
      <c r="D24" s="225">
        <f>Datos!K$54*'IEPS GyD'!C24%*22.5%</f>
        <v>1523831.4000000001</v>
      </c>
      <c r="E24" s="255">
        <v>39756</v>
      </c>
      <c r="F24" s="291">
        <v>3.6642183857936419</v>
      </c>
      <c r="G24" s="242">
        <f>Datos!K$55*'IEPS GyD'!F24%*22.5%</f>
        <v>340404.66052707005</v>
      </c>
      <c r="H24" s="243">
        <f t="shared" si="0"/>
        <v>1864236.0605270702</v>
      </c>
      <c r="I24" s="85"/>
      <c r="J24" s="31"/>
    </row>
    <row r="25" spans="2:10" x14ac:dyDescent="0.2">
      <c r="B25" s="117" t="s">
        <v>22</v>
      </c>
      <c r="C25" s="128">
        <v>35.409999999999997</v>
      </c>
      <c r="D25" s="225">
        <f>Datos!K$54*'IEPS GyD'!C25%*22.5%</f>
        <v>13765017.824999999</v>
      </c>
      <c r="E25" s="255">
        <v>380249</v>
      </c>
      <c r="F25" s="291">
        <v>35.046669106037996</v>
      </c>
      <c r="G25" s="242">
        <f>Datos!K$55*'IEPS GyD'!F25%*22.5%</f>
        <v>3255823.8193167793</v>
      </c>
      <c r="H25" s="243">
        <f t="shared" si="0"/>
        <v>17020841.644316778</v>
      </c>
      <c r="I25" s="85"/>
      <c r="J25" s="31"/>
    </row>
    <row r="26" spans="2:10" x14ac:dyDescent="0.2">
      <c r="B26" s="117" t="s">
        <v>23</v>
      </c>
      <c r="C26" s="128">
        <v>3.01</v>
      </c>
      <c r="D26" s="225">
        <f>Datos!K$54*'IEPS GyD'!C26%*22.5%</f>
        <v>1170084.825</v>
      </c>
      <c r="E26" s="255">
        <v>30030</v>
      </c>
      <c r="F26" s="291">
        <v>2.7677955057194654</v>
      </c>
      <c r="G26" s="242">
        <f>Datos!K$55*'IEPS GyD'!F26%*22.5%</f>
        <v>257127.27526984393</v>
      </c>
      <c r="H26" s="243">
        <f t="shared" si="0"/>
        <v>1427212.1002698438</v>
      </c>
      <c r="I26" s="85"/>
      <c r="J26" s="31"/>
    </row>
    <row r="27" spans="2:10" ht="15" thickBot="1" x14ac:dyDescent="0.25">
      <c r="B27" s="118" t="s">
        <v>24</v>
      </c>
      <c r="C27" s="129">
        <v>4.5199999999999996</v>
      </c>
      <c r="D27" s="628">
        <f>Datos!K$54*'IEPS GyD'!C27%*22.5%</f>
        <v>1757070.9</v>
      </c>
      <c r="E27" s="265">
        <v>49102</v>
      </c>
      <c r="F27" s="292">
        <v>4.5256175465147246</v>
      </c>
      <c r="G27" s="242">
        <f>Datos!K$55*'IEPS GyD'!F27%*22.5%</f>
        <v>420428.35398933978</v>
      </c>
      <c r="H27" s="243">
        <f t="shared" si="0"/>
        <v>2177499.2539893398</v>
      </c>
      <c r="I27" s="86"/>
      <c r="J27" s="31"/>
    </row>
    <row r="28" spans="2:10" ht="15.75" thickBot="1" x14ac:dyDescent="0.3">
      <c r="B28" s="625" t="s">
        <v>25</v>
      </c>
      <c r="C28" s="626">
        <f t="shared" ref="C28" si="1">SUM(C8:C27)</f>
        <v>100</v>
      </c>
      <c r="D28" s="627">
        <f t="shared" ref="D28" si="2">SUM(D8:D27)</f>
        <v>38873250</v>
      </c>
      <c r="E28" s="148">
        <f>SUM(E8:E27)</f>
        <v>1084979</v>
      </c>
      <c r="F28" s="566">
        <f>SUM(F8:F27)</f>
        <v>99.999999999999986</v>
      </c>
      <c r="G28" s="624">
        <f>SUM(G8:G27)</f>
        <v>9289966.5</v>
      </c>
      <c r="H28" s="244">
        <f t="shared" ref="H28" si="3">D28+G28</f>
        <v>48163216.5</v>
      </c>
      <c r="I28" s="13"/>
      <c r="J28" s="87"/>
    </row>
    <row r="29" spans="2:10" x14ac:dyDescent="0.2">
      <c r="G29" s="41"/>
    </row>
  </sheetData>
  <mergeCells count="4">
    <mergeCell ref="B4:B7"/>
    <mergeCell ref="E4:F4"/>
    <mergeCell ref="E5:F5"/>
    <mergeCell ref="B3:H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7:H7" numberStoredAsText="1"/>
    <ignoredError sqref="D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K29"/>
  <sheetViews>
    <sheetView topLeftCell="B1" zoomScaleNormal="100" workbookViewId="0">
      <selection activeCell="O14" sqref="O14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2.85546875" customWidth="1"/>
    <col min="4" max="4" width="14" customWidth="1"/>
    <col min="5" max="6" width="16.5703125" customWidth="1"/>
    <col min="7" max="7" width="11.140625" style="1" customWidth="1"/>
    <col min="8" max="8" width="14.140625" style="1" customWidth="1"/>
    <col min="9" max="9" width="15.85546875" customWidth="1"/>
    <col min="10" max="10" width="14.42578125" style="72" customWidth="1"/>
    <col min="11" max="11" width="16.42578125" style="72" customWidth="1"/>
  </cols>
  <sheetData>
    <row r="1" spans="2:11" ht="15.75" thickBot="1" x14ac:dyDescent="0.3">
      <c r="K1" s="508"/>
    </row>
    <row r="2" spans="2:11" ht="15.75" thickBot="1" x14ac:dyDescent="0.3">
      <c r="B2" s="778" t="s">
        <v>372</v>
      </c>
      <c r="C2" s="779"/>
      <c r="D2" s="779"/>
      <c r="E2" s="779"/>
      <c r="F2" s="779"/>
      <c r="G2" s="779"/>
      <c r="H2" s="779"/>
      <c r="I2" s="779"/>
      <c r="J2" s="779"/>
      <c r="K2" s="780"/>
    </row>
    <row r="3" spans="2:11" ht="20.25" customHeight="1" x14ac:dyDescent="0.25">
      <c r="B3" s="775" t="s">
        <v>325</v>
      </c>
      <c r="C3" s="135" t="s">
        <v>62</v>
      </c>
      <c r="D3" s="187" t="s">
        <v>64</v>
      </c>
      <c r="E3" s="747" t="s">
        <v>339</v>
      </c>
      <c r="F3" s="747" t="s">
        <v>342</v>
      </c>
      <c r="G3" s="137" t="s">
        <v>1</v>
      </c>
      <c r="H3" s="141" t="s">
        <v>2</v>
      </c>
      <c r="I3" s="137" t="s">
        <v>3</v>
      </c>
      <c r="J3" s="555" t="s">
        <v>146</v>
      </c>
      <c r="K3" s="195" t="s">
        <v>63</v>
      </c>
    </row>
    <row r="4" spans="2:11" ht="19.5" customHeight="1" x14ac:dyDescent="0.25">
      <c r="B4" s="658"/>
      <c r="C4" s="5" t="s">
        <v>63</v>
      </c>
      <c r="D4" s="509" t="s">
        <v>65</v>
      </c>
      <c r="E4" s="748"/>
      <c r="F4" s="748"/>
      <c r="G4" s="138">
        <v>2010</v>
      </c>
      <c r="H4" s="103" t="s">
        <v>83</v>
      </c>
      <c r="I4" s="138" t="s">
        <v>340</v>
      </c>
      <c r="J4" s="556" t="s">
        <v>147</v>
      </c>
      <c r="K4" s="196" t="s">
        <v>149</v>
      </c>
    </row>
    <row r="5" spans="2:11" x14ac:dyDescent="0.25">
      <c r="B5" s="658"/>
      <c r="C5" s="71">
        <v>2014</v>
      </c>
      <c r="D5" s="121" t="s">
        <v>341</v>
      </c>
      <c r="E5" s="748"/>
      <c r="F5" s="748"/>
      <c r="G5" s="138"/>
      <c r="H5" s="103" t="s">
        <v>82</v>
      </c>
      <c r="I5" s="138"/>
      <c r="J5" s="556">
        <v>2017</v>
      </c>
      <c r="K5" s="196" t="s">
        <v>148</v>
      </c>
    </row>
    <row r="6" spans="2:11" ht="15.75" thickBot="1" x14ac:dyDescent="0.3">
      <c r="B6" s="659"/>
      <c r="C6" s="136" t="s">
        <v>4</v>
      </c>
      <c r="D6" s="186" t="s">
        <v>5</v>
      </c>
      <c r="E6" s="139" t="s">
        <v>30</v>
      </c>
      <c r="F6" s="142" t="s">
        <v>28</v>
      </c>
      <c r="G6" s="140" t="s">
        <v>98</v>
      </c>
      <c r="H6" s="142" t="s">
        <v>204</v>
      </c>
      <c r="I6" s="194" t="s">
        <v>205</v>
      </c>
      <c r="J6" s="557" t="s">
        <v>163</v>
      </c>
      <c r="K6" s="140" t="s">
        <v>222</v>
      </c>
    </row>
    <row r="7" spans="2:11" x14ac:dyDescent="0.25">
      <c r="B7" s="108" t="s">
        <v>6</v>
      </c>
      <c r="C7" s="251">
        <v>3.65</v>
      </c>
      <c r="D7" s="249">
        <f>Datos!K$34*FOFIR!C7%*22.5%</f>
        <v>1608902.6625000001</v>
      </c>
      <c r="E7" s="188">
        <f>Datos!T81</f>
        <v>9840850</v>
      </c>
      <c r="F7" s="110">
        <f>E7/$E$27*100</f>
        <v>1.7082934235061225</v>
      </c>
      <c r="G7" s="190">
        <v>36572</v>
      </c>
      <c r="H7" s="185">
        <f>F7*G7</f>
        <v>62475.70708446591</v>
      </c>
      <c r="I7" s="579">
        <f>H7/H$27*100</f>
        <v>0.29561697185986546</v>
      </c>
      <c r="J7" s="245">
        <f>$J$27*I7/100</f>
        <v>59257.826189926367</v>
      </c>
      <c r="K7" s="247">
        <f t="shared" ref="K7:K26" si="0">D7+J7</f>
        <v>1668160.4886899265</v>
      </c>
    </row>
    <row r="8" spans="2:11" x14ac:dyDescent="0.25">
      <c r="B8" s="117" t="s">
        <v>7</v>
      </c>
      <c r="C8" s="252">
        <v>1.49</v>
      </c>
      <c r="D8" s="250">
        <f>Datos!K$34*FOFIR!C8%*22.5%</f>
        <v>656784.92249999999</v>
      </c>
      <c r="E8" s="189">
        <f>Datos!T82</f>
        <v>3790321</v>
      </c>
      <c r="F8" s="115">
        <f t="shared" ref="F8:F26" si="1">E8/$E$27*100</f>
        <v>0.65796963039545864</v>
      </c>
      <c r="G8" s="191">
        <v>15229</v>
      </c>
      <c r="H8" s="13">
        <f t="shared" ref="H8:H26" si="2">F8*G8</f>
        <v>10020.21950129244</v>
      </c>
      <c r="I8" s="580">
        <f t="shared" ref="I8:I27" si="3">H8/H$27*100</f>
        <v>4.7412779855992321E-2</v>
      </c>
      <c r="J8" s="246">
        <f t="shared" ref="J8:J26" si="4">$J$27*I8/100</f>
        <v>9504.1169328379765</v>
      </c>
      <c r="K8" s="248">
        <f t="shared" si="0"/>
        <v>666289.03943283798</v>
      </c>
    </row>
    <row r="9" spans="2:11" x14ac:dyDescent="0.25">
      <c r="B9" s="117" t="s">
        <v>8</v>
      </c>
      <c r="C9" s="252">
        <v>1.0900000000000001</v>
      </c>
      <c r="D9" s="250">
        <f>Datos!K$34*FOFIR!C9%*22.5%</f>
        <v>480466.82250000001</v>
      </c>
      <c r="E9" s="189">
        <f>Datos!T83</f>
        <v>3689187</v>
      </c>
      <c r="F9" s="115">
        <f t="shared" si="1"/>
        <v>0.64041357100090757</v>
      </c>
      <c r="G9" s="192">
        <v>11188</v>
      </c>
      <c r="H9" s="13">
        <f t="shared" si="2"/>
        <v>7164.9470323581536</v>
      </c>
      <c r="I9" s="580">
        <f t="shared" si="3"/>
        <v>3.3902456556088992E-2</v>
      </c>
      <c r="J9" s="246">
        <f t="shared" si="4"/>
        <v>6795.9084533366795</v>
      </c>
      <c r="K9" s="248">
        <f t="shared" si="0"/>
        <v>487262.73095333669</v>
      </c>
    </row>
    <row r="10" spans="2:11" x14ac:dyDescent="0.25">
      <c r="B10" s="117" t="s">
        <v>9</v>
      </c>
      <c r="C10" s="252">
        <v>8.82</v>
      </c>
      <c r="D10" s="250">
        <f>Datos!K$34*FOFIR!C10%*22.5%</f>
        <v>3887814.1050000004</v>
      </c>
      <c r="E10" s="189">
        <f>Datos!T84</f>
        <v>200100586</v>
      </c>
      <c r="F10" s="115">
        <f t="shared" si="1"/>
        <v>34.735872928001264</v>
      </c>
      <c r="G10" s="192">
        <v>124205</v>
      </c>
      <c r="H10" s="13">
        <f t="shared" si="2"/>
        <v>4314369.0970223974</v>
      </c>
      <c r="I10" s="580">
        <f t="shared" si="3"/>
        <v>20.414346431057222</v>
      </c>
      <c r="J10" s="246">
        <f t="shared" si="4"/>
        <v>4092152.7102509676</v>
      </c>
      <c r="K10" s="248">
        <f t="shared" si="0"/>
        <v>7979966.8152509686</v>
      </c>
    </row>
    <row r="11" spans="2:11" x14ac:dyDescent="0.25">
      <c r="B11" s="117" t="s">
        <v>10</v>
      </c>
      <c r="C11" s="252">
        <v>6.63</v>
      </c>
      <c r="D11" s="250">
        <f>Datos!K$34*FOFIR!C11%*22.5%</f>
        <v>2922472.5074999998</v>
      </c>
      <c r="E11" s="189">
        <f>Datos!T85</f>
        <v>38608461</v>
      </c>
      <c r="F11" s="115">
        <f t="shared" si="1"/>
        <v>6.702122277851263</v>
      </c>
      <c r="G11" s="192">
        <v>70399</v>
      </c>
      <c r="H11" s="13">
        <f t="shared" si="2"/>
        <v>471822.70623845106</v>
      </c>
      <c r="I11" s="580">
        <f t="shared" si="3"/>
        <v>2.2325285488064215</v>
      </c>
      <c r="J11" s="246">
        <f t="shared" si="4"/>
        <v>447520.95211885398</v>
      </c>
      <c r="K11" s="248">
        <f t="shared" si="0"/>
        <v>3369993.4596188539</v>
      </c>
    </row>
    <row r="12" spans="2:11" x14ac:dyDescent="0.25">
      <c r="B12" s="117" t="s">
        <v>11</v>
      </c>
      <c r="C12" s="252">
        <v>3.22</v>
      </c>
      <c r="D12" s="250">
        <f>Datos!K$34*FOFIR!C12%*22.5%</f>
        <v>1419360.7050000001</v>
      </c>
      <c r="E12" s="189">
        <f>Datos!T86</f>
        <v>56558</v>
      </c>
      <c r="F12" s="115">
        <f t="shared" si="1"/>
        <v>9.8180197286473498E-3</v>
      </c>
      <c r="G12" s="192">
        <v>34300</v>
      </c>
      <c r="H12" s="13">
        <f t="shared" si="2"/>
        <v>336.75807669260411</v>
      </c>
      <c r="I12" s="580">
        <f t="shared" si="3"/>
        <v>1.593441795650723E-3</v>
      </c>
      <c r="J12" s="246">
        <f t="shared" si="4"/>
        <v>319.41297678671674</v>
      </c>
      <c r="K12" s="248">
        <f t="shared" si="0"/>
        <v>1419680.1179767868</v>
      </c>
    </row>
    <row r="13" spans="2:11" x14ac:dyDescent="0.25">
      <c r="B13" s="117" t="s">
        <v>12</v>
      </c>
      <c r="C13" s="252">
        <v>1.1100000000000001</v>
      </c>
      <c r="D13" s="250">
        <f>Datos!K$34*FOFIR!C13%*22.5%</f>
        <v>489282.72749999998</v>
      </c>
      <c r="E13" s="189">
        <f>Datos!T87</f>
        <v>81890</v>
      </c>
      <c r="F13" s="115">
        <f t="shared" si="1"/>
        <v>1.421545379219441E-2</v>
      </c>
      <c r="G13" s="192">
        <v>11400</v>
      </c>
      <c r="H13" s="13">
        <f t="shared" si="2"/>
        <v>162.05617323101629</v>
      </c>
      <c r="I13" s="580">
        <f t="shared" si="3"/>
        <v>7.6680292928869311E-4</v>
      </c>
      <c r="J13" s="246">
        <f t="shared" si="4"/>
        <v>153.70928948983266</v>
      </c>
      <c r="K13" s="248">
        <f t="shared" si="0"/>
        <v>489436.43678948982</v>
      </c>
    </row>
    <row r="14" spans="2:11" x14ac:dyDescent="0.25">
      <c r="B14" s="117" t="s">
        <v>13</v>
      </c>
      <c r="C14" s="252">
        <v>2.71</v>
      </c>
      <c r="D14" s="250">
        <f>Datos!K$34*FOFIR!C14%*22.5%</f>
        <v>1194555.1274999999</v>
      </c>
      <c r="E14" s="189">
        <f>Datos!T88</f>
        <v>9310961</v>
      </c>
      <c r="F14" s="115">
        <f t="shared" si="1"/>
        <v>1.6163089004325832</v>
      </c>
      <c r="G14" s="192">
        <v>27273</v>
      </c>
      <c r="H14" s="13">
        <f t="shared" si="2"/>
        <v>44081.592641497846</v>
      </c>
      <c r="I14" s="580">
        <f t="shared" si="3"/>
        <v>0.20858134368646211</v>
      </c>
      <c r="J14" s="246">
        <f t="shared" si="4"/>
        <v>41811.12110333384</v>
      </c>
      <c r="K14" s="248">
        <f t="shared" si="0"/>
        <v>1236366.2486033337</v>
      </c>
    </row>
    <row r="15" spans="2:11" x14ac:dyDescent="0.25">
      <c r="B15" s="117" t="s">
        <v>14</v>
      </c>
      <c r="C15" s="252">
        <v>1.69</v>
      </c>
      <c r="D15" s="250">
        <f>Datos!K$34*FOFIR!C15%*22.5%</f>
        <v>744943.97249999992</v>
      </c>
      <c r="E15" s="189">
        <f>Datos!T89</f>
        <v>3182383</v>
      </c>
      <c r="F15" s="115">
        <f t="shared" si="1"/>
        <v>0.55243642063212872</v>
      </c>
      <c r="G15" s="192">
        <v>17698</v>
      </c>
      <c r="H15" s="13">
        <f t="shared" si="2"/>
        <v>9777.0197723474139</v>
      </c>
      <c r="I15" s="580">
        <f t="shared" si="3"/>
        <v>4.6262029095690091E-2</v>
      </c>
      <c r="J15" s="246">
        <f t="shared" si="4"/>
        <v>9273.4434768692827</v>
      </c>
      <c r="K15" s="248">
        <f t="shared" si="0"/>
        <v>754217.41597686918</v>
      </c>
    </row>
    <row r="16" spans="2:11" x14ac:dyDescent="0.25">
      <c r="B16" s="117" t="s">
        <v>15</v>
      </c>
      <c r="C16" s="252">
        <v>1.27</v>
      </c>
      <c r="D16" s="250">
        <f>Datos!K$34*FOFIR!C16%*22.5%</f>
        <v>559809.96750000003</v>
      </c>
      <c r="E16" s="189">
        <f>Datos!T90</f>
        <v>581941</v>
      </c>
      <c r="F16" s="115">
        <f t="shared" si="1"/>
        <v>0.10102033697989261</v>
      </c>
      <c r="G16" s="192">
        <v>13600</v>
      </c>
      <c r="H16" s="13">
        <f t="shared" si="2"/>
        <v>1373.8765829265396</v>
      </c>
      <c r="I16" s="580">
        <f t="shared" si="3"/>
        <v>6.5007865313925625E-3</v>
      </c>
      <c r="J16" s="246">
        <f t="shared" si="4"/>
        <v>1303.1135389536632</v>
      </c>
      <c r="K16" s="248">
        <f t="shared" si="0"/>
        <v>561113.08103895374</v>
      </c>
    </row>
    <row r="17" spans="2:11" x14ac:dyDescent="0.25">
      <c r="B17" s="117" t="s">
        <v>16</v>
      </c>
      <c r="C17" s="252">
        <v>3.39</v>
      </c>
      <c r="D17" s="250">
        <f>Datos!K$34*FOFIR!C17%*22.5%</f>
        <v>1494295.8975</v>
      </c>
      <c r="E17" s="189">
        <f>Datos!T91</f>
        <v>2120104</v>
      </c>
      <c r="F17" s="115">
        <f t="shared" si="1"/>
        <v>0.36803322074302769</v>
      </c>
      <c r="G17" s="192">
        <v>34393</v>
      </c>
      <c r="H17" s="13">
        <f t="shared" si="2"/>
        <v>12657.766561014951</v>
      </c>
      <c r="I17" s="580">
        <f t="shared" si="3"/>
        <v>5.9892889506914973E-2</v>
      </c>
      <c r="J17" s="246">
        <f t="shared" si="4"/>
        <v>12005.814192886264</v>
      </c>
      <c r="K17" s="248">
        <f t="shared" si="0"/>
        <v>1506301.7116928862</v>
      </c>
    </row>
    <row r="18" spans="2:11" x14ac:dyDescent="0.25">
      <c r="B18" s="117" t="s">
        <v>17</v>
      </c>
      <c r="C18" s="252">
        <v>2.21</v>
      </c>
      <c r="D18" s="250">
        <f>Datos!K$34*FOFIR!C18%*22.5%</f>
        <v>974157.50249999994</v>
      </c>
      <c r="E18" s="189">
        <f>Datos!T92</f>
        <v>6139057</v>
      </c>
      <c r="F18" s="115">
        <f t="shared" si="1"/>
        <v>1.0656915509970404</v>
      </c>
      <c r="G18" s="192">
        <v>23469</v>
      </c>
      <c r="H18" s="13">
        <f t="shared" si="2"/>
        <v>25010.715010349541</v>
      </c>
      <c r="I18" s="580">
        <f t="shared" si="3"/>
        <v>0.11834346789246619</v>
      </c>
      <c r="J18" s="246">
        <f t="shared" si="4"/>
        <v>23722.510270517338</v>
      </c>
      <c r="K18" s="248">
        <f t="shared" si="0"/>
        <v>997880.01277051726</v>
      </c>
    </row>
    <row r="19" spans="2:11" x14ac:dyDescent="0.25">
      <c r="B19" s="117" t="s">
        <v>18</v>
      </c>
      <c r="C19" s="252">
        <v>3.95</v>
      </c>
      <c r="D19" s="250">
        <f>Datos!K$34*FOFIR!C19%*22.5%</f>
        <v>1741141.2375</v>
      </c>
      <c r="E19" s="189">
        <f>Datos!T93</f>
        <v>4353377</v>
      </c>
      <c r="F19" s="115">
        <f t="shared" si="1"/>
        <v>0.75571168132252931</v>
      </c>
      <c r="G19" s="192">
        <v>43120</v>
      </c>
      <c r="H19" s="13">
        <f t="shared" si="2"/>
        <v>32586.287698627464</v>
      </c>
      <c r="I19" s="580">
        <f t="shared" si="3"/>
        <v>0.15418888625940524</v>
      </c>
      <c r="J19" s="246">
        <f t="shared" si="4"/>
        <v>30907.894647907513</v>
      </c>
      <c r="K19" s="248">
        <f t="shared" si="0"/>
        <v>1772049.1321479075</v>
      </c>
    </row>
    <row r="20" spans="2:11" x14ac:dyDescent="0.25">
      <c r="B20" s="117" t="s">
        <v>19</v>
      </c>
      <c r="C20" s="252">
        <v>0.75</v>
      </c>
      <c r="D20" s="250">
        <f>Datos!K$34*FOFIR!C20%*22.5%</f>
        <v>330596.4375</v>
      </c>
      <c r="E20" s="189">
        <f>Datos!T94</f>
        <v>1276066</v>
      </c>
      <c r="F20" s="115">
        <f t="shared" si="1"/>
        <v>0.22151492561717367</v>
      </c>
      <c r="G20" s="192">
        <v>7510</v>
      </c>
      <c r="H20" s="13">
        <f t="shared" si="2"/>
        <v>1663.5770913849742</v>
      </c>
      <c r="I20" s="580">
        <f t="shared" si="3"/>
        <v>7.8715655277945031E-3</v>
      </c>
      <c r="J20" s="246">
        <f t="shared" si="4"/>
        <v>1577.8926999826651</v>
      </c>
      <c r="K20" s="248">
        <f t="shared" si="0"/>
        <v>332174.33019998268</v>
      </c>
    </row>
    <row r="21" spans="2:11" x14ac:dyDescent="0.25">
      <c r="B21" s="117" t="s">
        <v>20</v>
      </c>
      <c r="C21" s="252">
        <v>2.2799999999999998</v>
      </c>
      <c r="D21" s="250">
        <f>Datos!K$34*FOFIR!C21%*22.5%</f>
        <v>1005013.1699999998</v>
      </c>
      <c r="E21" s="189">
        <f>Datos!T95</f>
        <v>2538386</v>
      </c>
      <c r="F21" s="115">
        <f t="shared" si="1"/>
        <v>0.44064365477778972</v>
      </c>
      <c r="G21" s="192">
        <v>22412</v>
      </c>
      <c r="H21" s="13">
        <f t="shared" si="2"/>
        <v>9875.7055908798229</v>
      </c>
      <c r="I21" s="580">
        <f t="shared" si="3"/>
        <v>4.6728981839428085E-2</v>
      </c>
      <c r="J21" s="246">
        <f t="shared" si="4"/>
        <v>9367.0463723770972</v>
      </c>
      <c r="K21" s="248">
        <f t="shared" si="0"/>
        <v>1014380.2163723769</v>
      </c>
    </row>
    <row r="22" spans="2:11" x14ac:dyDescent="0.25">
      <c r="B22" s="117" t="s">
        <v>27</v>
      </c>
      <c r="C22" s="252">
        <v>8.8800000000000008</v>
      </c>
      <c r="D22" s="250">
        <f>Datos!K$34*FOFIR!C22%*22.5%</f>
        <v>3914261.82</v>
      </c>
      <c r="E22" s="189">
        <f>Datos!T96</f>
        <v>12549885</v>
      </c>
      <c r="F22" s="115">
        <f t="shared" si="1"/>
        <v>2.1785603897283399</v>
      </c>
      <c r="G22" s="192">
        <v>93074</v>
      </c>
      <c r="H22" s="13">
        <f t="shared" si="2"/>
        <v>202767.32971357551</v>
      </c>
      <c r="I22" s="580">
        <f t="shared" si="3"/>
        <v>0.95943634412970213</v>
      </c>
      <c r="J22" s="246">
        <f t="shared" si="4"/>
        <v>192323.57250343342</v>
      </c>
      <c r="K22" s="248">
        <f t="shared" si="0"/>
        <v>4106585.3925034334</v>
      </c>
    </row>
    <row r="23" spans="2:11" x14ac:dyDescent="0.25">
      <c r="B23" s="117" t="s">
        <v>21</v>
      </c>
      <c r="C23" s="252">
        <v>3.92</v>
      </c>
      <c r="D23" s="250">
        <f>Datos!K$34*FOFIR!C23%*22.5%</f>
        <v>1727917.38</v>
      </c>
      <c r="E23" s="189">
        <f>Datos!T97</f>
        <v>12319331</v>
      </c>
      <c r="F23" s="115">
        <f t="shared" si="1"/>
        <v>2.1385380459304941</v>
      </c>
      <c r="G23" s="192">
        <v>39756</v>
      </c>
      <c r="H23" s="13">
        <f t="shared" si="2"/>
        <v>85019.718554012725</v>
      </c>
      <c r="I23" s="580">
        <f t="shared" si="3"/>
        <v>0.40228871220834</v>
      </c>
      <c r="J23" s="246">
        <f t="shared" si="4"/>
        <v>80640.68323354474</v>
      </c>
      <c r="K23" s="248">
        <f t="shared" si="0"/>
        <v>1808558.0632335446</v>
      </c>
    </row>
    <row r="24" spans="2:11" x14ac:dyDescent="0.25">
      <c r="B24" s="117" t="s">
        <v>22</v>
      </c>
      <c r="C24" s="252">
        <v>35.42</v>
      </c>
      <c r="D24" s="250">
        <f>Datos!K$34*FOFIR!C24%*22.5%</f>
        <v>15612967.754999999</v>
      </c>
      <c r="E24" s="189">
        <f>Datos!T98</f>
        <v>236317850</v>
      </c>
      <c r="F24" s="115">
        <f t="shared" si="1"/>
        <v>41.022902392791913</v>
      </c>
      <c r="G24" s="192">
        <v>380249</v>
      </c>
      <c r="H24" s="13">
        <f t="shared" si="2"/>
        <v>15598917.611956732</v>
      </c>
      <c r="I24" s="580">
        <f t="shared" si="3"/>
        <v>73.809565412421506</v>
      </c>
      <c r="J24" s="246">
        <f t="shared" si="4"/>
        <v>14795477.9823556</v>
      </c>
      <c r="K24" s="248">
        <f t="shared" si="0"/>
        <v>30408445.737355597</v>
      </c>
    </row>
    <row r="25" spans="2:11" x14ac:dyDescent="0.25">
      <c r="B25" s="117" t="s">
        <v>23</v>
      </c>
      <c r="C25" s="252">
        <v>3</v>
      </c>
      <c r="D25" s="250">
        <f>Datos!K$34*FOFIR!C25%*22.5%</f>
        <v>1322385.75</v>
      </c>
      <c r="E25" s="189">
        <f>Datos!T99</f>
        <v>1516592</v>
      </c>
      <c r="F25" s="115">
        <f t="shared" si="1"/>
        <v>0.26326832943719264</v>
      </c>
      <c r="G25" s="192">
        <v>30030</v>
      </c>
      <c r="H25" s="13">
        <f t="shared" si="2"/>
        <v>7905.9479329988953</v>
      </c>
      <c r="I25" s="580">
        <f t="shared" si="3"/>
        <v>3.7408658448237153E-2</v>
      </c>
      <c r="J25" s="246">
        <f t="shared" si="4"/>
        <v>7498.7432770767664</v>
      </c>
      <c r="K25" s="248">
        <f t="shared" si="0"/>
        <v>1329884.4932770769</v>
      </c>
    </row>
    <row r="26" spans="2:11" ht="15.75" thickBot="1" x14ac:dyDescent="0.3">
      <c r="B26" s="118" t="s">
        <v>24</v>
      </c>
      <c r="C26" s="629">
        <v>4.5199999999999996</v>
      </c>
      <c r="D26" s="630">
        <f>Datos!K$34*FOFIR!C26%*22.5%</f>
        <v>1992394.5299999998</v>
      </c>
      <c r="E26" s="264">
        <f>Datos!T100</f>
        <v>27689428</v>
      </c>
      <c r="F26" s="631">
        <f t="shared" si="1"/>
        <v>4.8066648463340345</v>
      </c>
      <c r="G26" s="632">
        <v>49102</v>
      </c>
      <c r="H26" s="633">
        <f t="shared" si="2"/>
        <v>236016.85728469375</v>
      </c>
      <c r="I26" s="634">
        <f t="shared" si="3"/>
        <v>1.1167634895921184</v>
      </c>
      <c r="J26" s="635">
        <f t="shared" si="4"/>
        <v>223860.54611531566</v>
      </c>
      <c r="K26" s="636">
        <f t="shared" si="0"/>
        <v>2216255.0761153153</v>
      </c>
    </row>
    <row r="27" spans="2:11" ht="15.75" thickBot="1" x14ac:dyDescent="0.3">
      <c r="B27" s="118" t="s">
        <v>25</v>
      </c>
      <c r="C27" s="629">
        <f>SUM(C7:C26)</f>
        <v>100.00000000000001</v>
      </c>
      <c r="D27" s="630">
        <f>SUM(D7:D26)</f>
        <v>44079524.999999993</v>
      </c>
      <c r="E27" s="264">
        <f>SUM(E7:E26)</f>
        <v>576063214</v>
      </c>
      <c r="F27" s="631">
        <f>SUM(F7:F26)</f>
        <v>99.999999999999986</v>
      </c>
      <c r="G27" s="632">
        <f t="shared" ref="G27:K27" si="5">SUM(G7:G26)</f>
        <v>1084979</v>
      </c>
      <c r="H27" s="633">
        <f t="shared" si="5"/>
        <v>21134005.497519933</v>
      </c>
      <c r="I27" s="634">
        <f t="shared" si="3"/>
        <v>100</v>
      </c>
      <c r="J27" s="635">
        <f>Datos!L35</f>
        <v>20045475</v>
      </c>
      <c r="K27" s="636">
        <f t="shared" si="5"/>
        <v>64125000</v>
      </c>
    </row>
    <row r="28" spans="2:11" x14ac:dyDescent="0.25">
      <c r="B28" s="2" t="s">
        <v>26</v>
      </c>
      <c r="C28" s="23"/>
      <c r="D28" s="2"/>
      <c r="E28" s="2"/>
      <c r="F28" s="2"/>
      <c r="G28" s="3"/>
      <c r="H28" s="3"/>
    </row>
    <row r="29" spans="2:11" x14ac:dyDescent="0.25">
      <c r="B29" s="2"/>
      <c r="C29" s="2"/>
      <c r="D29" s="2"/>
      <c r="E29" s="2"/>
      <c r="F29" s="2"/>
      <c r="G29" s="3"/>
      <c r="H29" s="3"/>
    </row>
  </sheetData>
  <mergeCells count="4">
    <mergeCell ref="B3:B6"/>
    <mergeCell ref="B2:K2"/>
    <mergeCell ref="F3:F5"/>
    <mergeCell ref="E3:E5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ignoredErrors>
    <ignoredError sqref="C6:G6 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CALENDARIO</vt:lpstr>
      <vt:lpstr>LEY DE INGRESOS</vt:lpstr>
      <vt:lpstr>PORCENTAJE Y MONTOS</vt:lpstr>
      <vt:lpstr>Datos</vt:lpstr>
      <vt:lpstr>FGP TOTAL</vt:lpstr>
      <vt:lpstr>FFM</vt:lpstr>
      <vt:lpstr>IEPS TyA</vt:lpstr>
      <vt:lpstr>IEPS GyD</vt:lpstr>
      <vt:lpstr>FOFIR</vt:lpstr>
      <vt:lpstr>FOCO</vt:lpstr>
      <vt:lpstr>I S A N</vt:lpstr>
      <vt:lpstr>PREDIAL Y AGUA</vt:lpstr>
      <vt:lpstr>CENSO</vt:lpstr>
      <vt:lpstr>ISAN</vt:lpstr>
      <vt:lpstr>ISAN  ok</vt:lpstr>
      <vt:lpstr>FOCO isan</vt:lpstr>
      <vt:lpstr>'FOCO isan'!Área_de_impresión</vt:lpstr>
      <vt:lpstr>'ISAN  ok'!Área_de_impresión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JFCA. Cermeño Ayón</dc:creator>
  <cp:lastModifiedBy>Palmira González</cp:lastModifiedBy>
  <cp:lastPrinted>2017-02-07T19:45:22Z</cp:lastPrinted>
  <dcterms:created xsi:type="dcterms:W3CDTF">2014-08-27T15:38:51Z</dcterms:created>
  <dcterms:modified xsi:type="dcterms:W3CDTF">2017-02-20T17:37:32Z</dcterms:modified>
</cp:coreProperties>
</file>